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108" windowWidth="12396" windowHeight="8016"/>
  </bookViews>
  <sheets>
    <sheet name="01.06.2014г.  " sheetId="43" r:id="rId1"/>
    <sheet name="01.05.2014г. " sheetId="42" r:id="rId2"/>
    <sheet name="01.04.2014г. " sheetId="41" r:id="rId3"/>
  </sheets>
  <definedNames>
    <definedName name="_xlnm._FilterDatabase" localSheetId="2" hidden="1">'01.04.2014г. '!$A$3:$P$22</definedName>
    <definedName name="_xlnm._FilterDatabase" localSheetId="1" hidden="1">'01.05.2014г. '!$A$3:$P$22</definedName>
    <definedName name="_xlnm._FilterDatabase" localSheetId="0" hidden="1">'01.06.2014г.  '!$A$3:$P$22</definedName>
    <definedName name="_xlnm.Print_Titles" localSheetId="2">'01.04.2014г. '!$4:$4</definedName>
    <definedName name="_xlnm.Print_Titles" localSheetId="1">'01.05.2014г. '!$4:$4</definedName>
    <definedName name="_xlnm.Print_Titles" localSheetId="0">'01.06.2014г.  '!$4:$4</definedName>
  </definedNames>
  <calcPr calcId="124519"/>
</workbook>
</file>

<file path=xl/calcChain.xml><?xml version="1.0" encoding="utf-8"?>
<calcChain xmlns="http://schemas.openxmlformats.org/spreadsheetml/2006/main">
  <c r="J33" i="43"/>
  <c r="J34"/>
  <c r="K34" s="1"/>
  <c r="J46"/>
  <c r="J42"/>
  <c r="K42" s="1"/>
  <c r="J41"/>
  <c r="J39"/>
  <c r="J29"/>
  <c r="K12"/>
  <c r="J12"/>
  <c r="K53"/>
  <c r="H53"/>
  <c r="K52"/>
  <c r="J51"/>
  <c r="H51"/>
  <c r="K51" s="1"/>
  <c r="K50"/>
  <c r="J49"/>
  <c r="H49"/>
  <c r="K49" s="1"/>
  <c r="K47"/>
  <c r="H47"/>
  <c r="K46"/>
  <c r="H46"/>
  <c r="H45"/>
  <c r="K44" s="1"/>
  <c r="H44"/>
  <c r="K43"/>
  <c r="H43"/>
  <c r="H42"/>
  <c r="H41"/>
  <c r="K41" s="1"/>
  <c r="K40"/>
  <c r="H40"/>
  <c r="K39"/>
  <c r="H39"/>
  <c r="A38"/>
  <c r="A39" s="1"/>
  <c r="A40" s="1"/>
  <c r="A41" s="1"/>
  <c r="A42" s="1"/>
  <c r="A43" s="1"/>
  <c r="A44" s="1"/>
  <c r="A45" s="1"/>
  <c r="A46" s="1"/>
  <c r="A47" s="1"/>
  <c r="H37"/>
  <c r="K35"/>
  <c r="J35"/>
  <c r="A35"/>
  <c r="H34"/>
  <c r="K33"/>
  <c r="H33"/>
  <c r="J32"/>
  <c r="H32"/>
  <c r="K32" s="1"/>
  <c r="J31"/>
  <c r="H31"/>
  <c r="K31" s="1"/>
  <c r="A31"/>
  <c r="K30"/>
  <c r="H30"/>
  <c r="K29"/>
  <c r="H29"/>
  <c r="A29"/>
  <c r="J28"/>
  <c r="H28"/>
  <c r="K28" s="1"/>
  <c r="J27"/>
  <c r="H27"/>
  <c r="K27" s="1"/>
  <c r="A27"/>
  <c r="J26"/>
  <c r="H26"/>
  <c r="K26" s="1"/>
  <c r="K25"/>
  <c r="H25"/>
  <c r="H24"/>
  <c r="K23"/>
  <c r="H23"/>
  <c r="K22"/>
  <c r="H22"/>
  <c r="K21"/>
  <c r="H21"/>
  <c r="K20"/>
  <c r="H20"/>
  <c r="K19"/>
  <c r="H19"/>
  <c r="H18"/>
  <c r="H17"/>
  <c r="K15"/>
  <c r="H15"/>
  <c r="A15"/>
  <c r="A14"/>
  <c r="H13"/>
  <c r="H12"/>
  <c r="K11"/>
  <c r="H11"/>
  <c r="K18" s="1"/>
  <c r="K10"/>
  <c r="H10"/>
  <c r="K17" s="1"/>
  <c r="K8"/>
  <c r="H8"/>
  <c r="J34" i="42"/>
  <c r="K34" s="1"/>
  <c r="J33"/>
  <c r="J32"/>
  <c r="J31"/>
  <c r="J28"/>
  <c r="K28" s="1"/>
  <c r="J27"/>
  <c r="J26"/>
  <c r="K26" s="1"/>
  <c r="K53"/>
  <c r="H53"/>
  <c r="K52"/>
  <c r="J51"/>
  <c r="H51"/>
  <c r="K51" s="1"/>
  <c r="K50"/>
  <c r="J49"/>
  <c r="H49"/>
  <c r="K49" s="1"/>
  <c r="K47"/>
  <c r="H47"/>
  <c r="K46"/>
  <c r="H46"/>
  <c r="H45"/>
  <c r="K44" s="1"/>
  <c r="H44"/>
  <c r="K43"/>
  <c r="H43"/>
  <c r="H42"/>
  <c r="K42" s="1"/>
  <c r="H41"/>
  <c r="K41" s="1"/>
  <c r="K40"/>
  <c r="H40"/>
  <c r="K39"/>
  <c r="H39"/>
  <c r="A38"/>
  <c r="A39" s="1"/>
  <c r="A40" s="1"/>
  <c r="A41" s="1"/>
  <c r="A42" s="1"/>
  <c r="A43" s="1"/>
  <c r="A44" s="1"/>
  <c r="A45" s="1"/>
  <c r="A46" s="1"/>
  <c r="A47" s="1"/>
  <c r="H37"/>
  <c r="K35"/>
  <c r="J35"/>
  <c r="A35"/>
  <c r="H34"/>
  <c r="K33"/>
  <c r="H33"/>
  <c r="H32"/>
  <c r="K32" s="1"/>
  <c r="K31"/>
  <c r="H31"/>
  <c r="A31"/>
  <c r="H30"/>
  <c r="K30" s="1"/>
  <c r="K29"/>
  <c r="H29"/>
  <c r="A29"/>
  <c r="H28"/>
  <c r="H27"/>
  <c r="K27" s="1"/>
  <c r="A27"/>
  <c r="H26"/>
  <c r="H25"/>
  <c r="K25" s="1"/>
  <c r="H24"/>
  <c r="H23"/>
  <c r="K23" s="1"/>
  <c r="K22"/>
  <c r="H22"/>
  <c r="K21"/>
  <c r="H21"/>
  <c r="K20"/>
  <c r="H20"/>
  <c r="K19"/>
  <c r="H19"/>
  <c r="H18"/>
  <c r="H17"/>
  <c r="K15"/>
  <c r="H15"/>
  <c r="A15"/>
  <c r="A14"/>
  <c r="H13"/>
  <c r="H12"/>
  <c r="K12" s="1"/>
  <c r="K11"/>
  <c r="H11"/>
  <c r="K18" s="1"/>
  <c r="K10"/>
  <c r="H10"/>
  <c r="K17" s="1"/>
  <c r="K8"/>
  <c r="H8"/>
  <c r="H53" i="41"/>
  <c r="K53" s="1"/>
  <c r="K52"/>
  <c r="J51"/>
  <c r="H51"/>
  <c r="K51" s="1"/>
  <c r="K50"/>
  <c r="J49"/>
  <c r="H49"/>
  <c r="K49" s="1"/>
  <c r="A38"/>
  <c r="A35"/>
  <c r="A31"/>
  <c r="A29"/>
  <c r="A27"/>
  <c r="A14"/>
  <c r="A15" s="1"/>
  <c r="A39"/>
  <c r="J33"/>
  <c r="J34"/>
  <c r="H47"/>
  <c r="K47" s="1"/>
  <c r="H46"/>
  <c r="K46" s="1"/>
  <c r="H45"/>
  <c r="H44"/>
  <c r="H43"/>
  <c r="K43" s="1"/>
  <c r="H42"/>
  <c r="K42" s="1"/>
  <c r="H41"/>
  <c r="K41" s="1"/>
  <c r="H40"/>
  <c r="K40" s="1"/>
  <c r="H39"/>
  <c r="K39" s="1"/>
  <c r="H37"/>
  <c r="H34"/>
  <c r="H33"/>
  <c r="H32"/>
  <c r="K32" s="1"/>
  <c r="H31"/>
  <c r="K31" s="1"/>
  <c r="H30"/>
  <c r="K30" s="1"/>
  <c r="H29"/>
  <c r="K29" s="1"/>
  <c r="H28"/>
  <c r="K28" s="1"/>
  <c r="H27"/>
  <c r="K27" s="1"/>
  <c r="H26"/>
  <c r="K26" s="1"/>
  <c r="H25"/>
  <c r="K25" s="1"/>
  <c r="H24"/>
  <c r="H23"/>
  <c r="H15"/>
  <c r="K15" s="1"/>
  <c r="H13"/>
  <c r="H12"/>
  <c r="J35"/>
  <c r="K35" s="1"/>
  <c r="K22"/>
  <c r="H22"/>
  <c r="K21"/>
  <c r="H21"/>
  <c r="K20"/>
  <c r="H20"/>
  <c r="K19"/>
  <c r="H19"/>
  <c r="H18"/>
  <c r="H17"/>
  <c r="K11"/>
  <c r="H11"/>
  <c r="K18" s="1"/>
  <c r="K10"/>
  <c r="H10"/>
  <c r="K17" s="1"/>
  <c r="H8"/>
  <c r="K8" s="1"/>
  <c r="K44" l="1"/>
  <c r="A40"/>
  <c r="A41" s="1"/>
  <c r="A42" s="1"/>
  <c r="A43" s="1"/>
  <c r="A44" s="1"/>
  <c r="A45" s="1"/>
  <c r="A46" s="1"/>
  <c r="A47" s="1"/>
  <c r="K33"/>
  <c r="K12"/>
  <c r="K23"/>
  <c r="K34"/>
</calcChain>
</file>

<file path=xl/sharedStrings.xml><?xml version="1.0" encoding="utf-8"?>
<sst xmlns="http://schemas.openxmlformats.org/spreadsheetml/2006/main" count="701" uniqueCount="151">
  <si>
    <t>Планируемая дата ввода объекта</t>
  </si>
  <si>
    <t xml:space="preserve">        % готовности объекта</t>
  </si>
  <si>
    <t>Ленинский пр. от Московского пр. до ул. Доблести</t>
  </si>
  <si>
    <t>июнь 2011г.</t>
  </si>
  <si>
    <t>Квартал ( Ленинский пр.-ул. Зины Портновой-пр. Ветеранов-Дачный пр.)</t>
  </si>
  <si>
    <t>Биржевой пер.-Биржевая линия-Биржевой пр.1-Биржевой пр.2-Таможенный пер.-Тифлисская ул-Тифлисский пер.</t>
  </si>
  <si>
    <t>Квартал 2 (Выборгское шоссе-Суздальский пр.-ул.Жени Егоровой)</t>
  </si>
  <si>
    <t>2011г</t>
  </si>
  <si>
    <t>31 мая 2011г.</t>
  </si>
  <si>
    <t>2010-2011г.г.</t>
  </si>
  <si>
    <t>Белградская ул. от ул. Салова до ул. Димитрова</t>
  </si>
  <si>
    <t>Реконструкция НО кварталов</t>
  </si>
  <si>
    <t>Реконструкция системы  НО на магистралях</t>
  </si>
  <si>
    <t xml:space="preserve">    Район </t>
  </si>
  <si>
    <t xml:space="preserve">      Наименование  объекта</t>
  </si>
  <si>
    <t xml:space="preserve">                              Заказчик: СПб ГУП "Ленсвет"</t>
  </si>
  <si>
    <t>Василеостровский</t>
  </si>
  <si>
    <t>Строительство и реконструкция освещения улиц</t>
  </si>
  <si>
    <t>Приморский</t>
  </si>
  <si>
    <t xml:space="preserve">        % финансирования по объекту</t>
  </si>
  <si>
    <t xml:space="preserve">      Объект:            В-введен; С-сорван вводом;  З-завершен строительством; П-срок ввода перенесен</t>
  </si>
  <si>
    <t>Примечание</t>
  </si>
  <si>
    <t>Год начала создания объекта</t>
  </si>
  <si>
    <t xml:space="preserve">     Лимит  финансирования текущий  финансовый      год (тыс. руб.)</t>
  </si>
  <si>
    <t>Курортный</t>
  </si>
  <si>
    <t>С</t>
  </si>
  <si>
    <t>З</t>
  </si>
  <si>
    <t>Исп.Ермоленко Т.В. Тел.:321-64-85</t>
  </si>
  <si>
    <t>Исп. Крылова Г.И.Тел.:321-64-97</t>
  </si>
  <si>
    <t>Центральный</t>
  </si>
  <si>
    <t>сумма контракта, руб.</t>
  </si>
  <si>
    <t>Профинансировано по состоянию на 01 января очередного финансового года ( руб.)</t>
  </si>
  <si>
    <t>Стройэнерго</t>
  </si>
  <si>
    <t>№ п/п</t>
  </si>
  <si>
    <t>Район</t>
  </si>
  <si>
    <t>Фактическая  дата ввода объекта,№ и дата акта ввода объекта</t>
  </si>
  <si>
    <t>Общая сметная стоимость объекта               (тыс. руб)</t>
  </si>
  <si>
    <t>Профинансировано по состоянию на 01 января очередного финансового года                        (тыс. руб)</t>
  </si>
  <si>
    <t>Исполнено в рамках лимита на текущий финансовый год (тыс. руб.)</t>
  </si>
  <si>
    <t>Объект:В-введен; С-сорван вводом; З-завершен строительством; П-срок ввода перенесен</t>
  </si>
  <si>
    <t>Кронштадтский</t>
  </si>
  <si>
    <t>Заместитель директора по исполнению государственного заказа</t>
  </si>
  <si>
    <t>В.В.Финько</t>
  </si>
  <si>
    <t>10.12.12г.</t>
  </si>
  <si>
    <t>Красногвардейский</t>
  </si>
  <si>
    <t>Красносельский</t>
  </si>
  <si>
    <t>Цитадельская дорога от Кронштадтского шоссе до Цитадельского шоссе</t>
  </si>
  <si>
    <t>17.08.12г.</t>
  </si>
  <si>
    <t>Квартал (Комсомольская ул. д. 6-10) г. Зеленогорск</t>
  </si>
  <si>
    <t>Квартал (Привокзальная ул. 3,5,7)г. Зеленогорск</t>
  </si>
  <si>
    <t>штрафные санкции к подр.</t>
  </si>
  <si>
    <t>15.03.13г.</t>
  </si>
  <si>
    <t>31.12.13г.</t>
  </si>
  <si>
    <t xml:space="preserve">Создание объектов художественной подсветки </t>
  </si>
  <si>
    <t>Катальная горка</t>
  </si>
  <si>
    <t>Ломоносовский</t>
  </si>
  <si>
    <t>23.10.12г.</t>
  </si>
  <si>
    <t>Расторжение контракта</t>
  </si>
  <si>
    <t>ИТОГО введено объектов "В"</t>
  </si>
  <si>
    <t>заказчик: СПб ГУП "Ленсвет"</t>
  </si>
  <si>
    <t>ИТОГО объектов, запланированных к вводу (шт)</t>
  </si>
  <si>
    <t>ИТОГО объектов,завершенных строительством "З"</t>
  </si>
  <si>
    <t>ИТОГО объектов, с перенесенным сроком ввода "П"</t>
  </si>
  <si>
    <t>ИТОГО  сорванных вводом объектов "С"</t>
  </si>
  <si>
    <r>
      <rPr>
        <sz val="8"/>
        <color indexed="8"/>
        <rFont val="Times New Roman"/>
        <family val="1"/>
        <charset val="204"/>
      </rPr>
      <t>Исп. Крылова Г.И</t>
    </r>
    <r>
      <rPr>
        <b/>
        <sz val="8"/>
        <color indexed="8"/>
        <rFont val="Times New Roman"/>
        <family val="1"/>
        <charset val="204"/>
      </rPr>
      <t xml:space="preserve">. </t>
    </r>
    <r>
      <rPr>
        <sz val="8"/>
        <color indexed="8"/>
        <rFont val="Times New Roman"/>
        <family val="1"/>
        <charset val="204"/>
      </rPr>
      <t>Тел. 321-64-97</t>
    </r>
  </si>
  <si>
    <t>10.12.2013г.</t>
  </si>
  <si>
    <t xml:space="preserve">Константиновская ул. и Константиновский пер., Горелово. </t>
  </si>
  <si>
    <t>Колобановская ул.</t>
  </si>
  <si>
    <t>02.08.13г.</t>
  </si>
  <si>
    <t>10.12.13г.</t>
  </si>
  <si>
    <t>31.08.13г.</t>
  </si>
  <si>
    <t>Электроснабжение художественной подсветки пл. Ломоносова (Торговый пер., д. 2)</t>
  </si>
  <si>
    <t>12.03.13г.</t>
  </si>
  <si>
    <t>Местный проезд вдоль домов 7,9,11,15,17 по Набережной  ул., Горелово.</t>
  </si>
  <si>
    <t>13.08.2013г</t>
  </si>
  <si>
    <t>16.09.2013г</t>
  </si>
  <si>
    <t>30.06.2014г.</t>
  </si>
  <si>
    <t>Квартал (пр. Елизарова - пр. Обуховской Обороны - ул. Ольминского - ул. Бабушкина)</t>
  </si>
  <si>
    <t>30.05.2014г.</t>
  </si>
  <si>
    <t>26.08.2013г</t>
  </si>
  <si>
    <t>Невский</t>
  </si>
  <si>
    <t>Квартал (Конюшенная ул.-Магазейная ул. Пушкинская ул.-Госпитальная ул.)</t>
  </si>
  <si>
    <t xml:space="preserve">Пушкинский </t>
  </si>
  <si>
    <r>
      <t xml:space="preserve">Микрорайон (ул. Прокофьева-ул. Симонова-ул. Шостаковича-пр. Энгельса-ул. Асафьева-ул. Композиторов) </t>
    </r>
    <r>
      <rPr>
        <b/>
        <sz val="10"/>
        <rFont val="Times New Roman"/>
        <family val="1"/>
        <charset val="204"/>
      </rPr>
      <t>1 Этап -микрорайон (ул. Композиторов-ул. Прокофьева-ул. Симонова-ул. Шостаковича-пр. Энгельса-пр. Просвещения)</t>
    </r>
  </si>
  <si>
    <r>
      <t xml:space="preserve">Микрорайон (пр. Пятилеток - ул. Коллонтай - Искровский пр. - ул. Подвойского - пр. Большевиков - ул. Антонова-Овсеенко - Искровский пр. - ул. Подвойского - ул. Белышева - ул. Коллонтай - ул. Бадаева - ул. Ворошилова). </t>
    </r>
    <r>
      <rPr>
        <b/>
        <sz val="10"/>
        <rFont val="Times New Roman"/>
        <family val="1"/>
        <charset val="204"/>
      </rPr>
      <t xml:space="preserve">1 этап </t>
    </r>
    <r>
      <rPr>
        <sz val="10"/>
        <rFont val="Times New Roman"/>
        <family val="1"/>
        <charset val="204"/>
      </rPr>
      <t>-</t>
    </r>
    <r>
      <rPr>
        <b/>
        <sz val="10"/>
        <rFont val="Times New Roman"/>
        <family val="1"/>
        <charset val="204"/>
      </rPr>
      <t xml:space="preserve"> микрорайон (ул. Подвойского -пр. Большевиков - ул. Антонова- Овсеенко - Искровский пр.); 2 этап - микрорайон (ул. Коллонтай - Искровский пр. - ул. Подвойского - ул. Белышева)</t>
    </r>
  </si>
  <si>
    <r>
      <t xml:space="preserve">Микрорайон (пр. Косыгина - Белорусская ул. - Хасанская ул. -пр. Наставников) </t>
    </r>
    <r>
      <rPr>
        <b/>
        <sz val="10"/>
        <rFont val="Times New Roman"/>
        <family val="1"/>
        <charset val="204"/>
      </rPr>
      <t>1 этап (пр. Косыгина - Белорусская ул. - Ленская ул. -пр. Наставников)</t>
    </r>
  </si>
  <si>
    <r>
      <t xml:space="preserve">Микрорайон (пр. Косыгина - Белорусская ул. - Хасанская ул. -пр. Наставников) </t>
    </r>
    <r>
      <rPr>
        <b/>
        <sz val="10"/>
        <rFont val="Times New Roman"/>
        <family val="1"/>
        <charset val="204"/>
      </rPr>
      <t>2 этап (Ленская ул. - Белорусская ул. - Хасанская ул. -пр. Наставников)</t>
    </r>
  </si>
  <si>
    <t xml:space="preserve">Выборгский </t>
  </si>
  <si>
    <t>08.11.2013г.</t>
  </si>
  <si>
    <r>
      <t xml:space="preserve">Микрорайон (ул. Прокофьева-ул. Симонова-ул. Шостаковича-пр. Энгельса-ул. Асафьева-ул. Композиторов) </t>
    </r>
    <r>
      <rPr>
        <b/>
        <sz val="10"/>
        <rFont val="Times New Roman"/>
        <family val="1"/>
        <charset val="204"/>
      </rPr>
      <t>2 Этап -микрорайон (ул. Композиторов-пр. Просвещения-пр. Энгельса-ул.Асафьева )</t>
    </r>
  </si>
  <si>
    <t>ул. Типанова от Демонстрационного проезда до пр. Славы</t>
  </si>
  <si>
    <t xml:space="preserve">Московский </t>
  </si>
  <si>
    <t>Сады и скверы</t>
  </si>
  <si>
    <t>Овражный парк</t>
  </si>
  <si>
    <t>Сквер у дома Офицеров</t>
  </si>
  <si>
    <t>Сквер Веры Слуцкой</t>
  </si>
  <si>
    <t>Парк 40-летия ВЛКСМ</t>
  </si>
  <si>
    <t xml:space="preserve">Невский </t>
  </si>
  <si>
    <t>09.09.2013г.</t>
  </si>
  <si>
    <t xml:space="preserve">Красносельский </t>
  </si>
  <si>
    <t>Колпинский</t>
  </si>
  <si>
    <t>Квартал (Гаккелевская ул. - пр. Испытателей - пр. Сизова - Туполевская ул. - Богатырский пр.)</t>
  </si>
  <si>
    <r>
      <t xml:space="preserve">Микрорайон (пр. Пятилеток - ул. Коллонтай - Искровский пр. - ул. Подвойского - пр. Большевиков - ул. Антонова-Овсеенко - Искровский пр. - ул. Подвойского - ул. Белышева - ул. Коллонтай - ул. Бадаева - ул. Ворошилова). </t>
    </r>
    <r>
      <rPr>
        <b/>
        <sz val="10"/>
        <rFont val="Times New Roman"/>
        <family val="1"/>
        <charset val="204"/>
      </rPr>
      <t xml:space="preserve">3 этап </t>
    </r>
    <r>
      <rPr>
        <sz val="10"/>
        <rFont val="Times New Roman"/>
        <family val="1"/>
        <charset val="204"/>
      </rPr>
      <t>- микрорайон (ул. Подвойского -пр. Большевиков - ул. Антонова- Овсеенко - Искровский пр.)</t>
    </r>
  </si>
  <si>
    <t>Квартал(пр. Энгельса-Зеленогорская ул. -Перфильева ул.)</t>
  </si>
  <si>
    <t>Квартал(пр.Корпусная-Б.Зеленина-Чкаловская-Б.Разночинная).)</t>
  </si>
  <si>
    <t>31.07.2014г.</t>
  </si>
  <si>
    <t>Петроградский</t>
  </si>
  <si>
    <t>демонтаж опор невозможен без согласования СПбЭС</t>
  </si>
  <si>
    <t>24.09.2013г</t>
  </si>
  <si>
    <t>24.10.2013г.</t>
  </si>
  <si>
    <t>09.12.13г.</t>
  </si>
  <si>
    <t>Сквер на пересечении  ул. Красного курсанта и Малого пр.</t>
  </si>
  <si>
    <t>09,12.13г</t>
  </si>
  <si>
    <t>31.07.14 г.</t>
  </si>
  <si>
    <t xml:space="preserve">Петроградский </t>
  </si>
  <si>
    <t>Парк им. Бабушкина</t>
  </si>
  <si>
    <t>10.12.13г</t>
  </si>
  <si>
    <t>Парк Есенина</t>
  </si>
  <si>
    <t>Парк Куракина Дача</t>
  </si>
  <si>
    <t>31.07.14г.</t>
  </si>
  <si>
    <t>15.11.13г.</t>
  </si>
  <si>
    <t>30.07.14г.</t>
  </si>
  <si>
    <t xml:space="preserve">Парк Пионеров </t>
  </si>
  <si>
    <t xml:space="preserve">Центральный </t>
  </si>
  <si>
    <t>30.06.14г.</t>
  </si>
  <si>
    <t>Сквер на Литейном пр. д. 15-17</t>
  </si>
  <si>
    <t>Сквер на Литейном пр. д.53</t>
  </si>
  <si>
    <t>03.12.13г.</t>
  </si>
  <si>
    <t>П</t>
  </si>
  <si>
    <t>26.08.13г.</t>
  </si>
  <si>
    <t>расторжение контракта</t>
  </si>
  <si>
    <t>КС-14 № 8-14 от 20.01.14г.</t>
  </si>
  <si>
    <t xml:space="preserve"> Отчет о ходе выполнения работ по объектам Адресной инвестиционной программы, запланированным к вводу в 2014 году по состоянию на  01.04.14г.</t>
  </si>
  <si>
    <t>*</t>
  </si>
  <si>
    <t>1,063,1</t>
  </si>
  <si>
    <t>подготовительные работы</t>
  </si>
  <si>
    <t>отказ ЦКБ в согласовании заявки на ордер ГАТИ, объект необходимо включить в А П Комитета по благоустройству</t>
  </si>
  <si>
    <t>Церковь во имя святой Великомученицы Екатерины, В.О. Кадетская линия д. 27А</t>
  </si>
  <si>
    <t>07.11.13г.</t>
  </si>
  <si>
    <t>31.12.14г.</t>
  </si>
  <si>
    <t xml:space="preserve">Каменноостровский  пр. </t>
  </si>
  <si>
    <t>29.10.13г.</t>
  </si>
  <si>
    <t>Сенная пл.</t>
  </si>
  <si>
    <t xml:space="preserve">Адмиралтейский </t>
  </si>
  <si>
    <t>06.12.13г.</t>
  </si>
  <si>
    <t>Открытие разрешения, не достигнуто согласие собственника на прокладку эл. кабеля, лимиты перенесены на 2014г.</t>
  </si>
  <si>
    <t>итого по заказчику:                34 шт</t>
  </si>
  <si>
    <t xml:space="preserve"> Отчет о ходе выполнения работ по объектам Адресной инвестиционной программы, запланированным к вводу в 2014 году по состоянию на  01.05.14г.</t>
  </si>
  <si>
    <t xml:space="preserve"> Отчет о ходе выполнения работ по объектам Адресной инвестиционной программы, запланированным к вводу в 2014 году по состоянию на  01.06.14г.</t>
  </si>
  <si>
    <t>оплачен акт УСПХ</t>
  </si>
  <si>
    <t>оплата акта УСПХ</t>
  </si>
</sst>
</file>

<file path=xl/styles.xml><?xml version="1.0" encoding="utf-8"?>
<styleSheet xmlns="http://schemas.openxmlformats.org/spreadsheetml/2006/main">
  <numFmts count="1">
    <numFmt numFmtId="164" formatCode="#,##0.0"/>
  </numFmts>
  <fonts count="28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i/>
      <sz val="10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31">
    <xf numFmtId="0" fontId="0" fillId="0" borderId="0" xfId="0"/>
    <xf numFmtId="0" fontId="10" fillId="0" borderId="0" xfId="0" applyFont="1" applyAlignment="1"/>
    <xf numFmtId="0" fontId="11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13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 wrapText="1"/>
    </xf>
    <xf numFmtId="9" fontId="10" fillId="0" borderId="1" xfId="0" applyNumberFormat="1" applyFont="1" applyBorder="1" applyAlignment="1">
      <alignment horizontal="left"/>
    </xf>
    <xf numFmtId="0" fontId="14" fillId="0" borderId="1" xfId="0" applyFont="1" applyBorder="1" applyAlignment="1">
      <alignment horizontal="left" wrapText="1"/>
    </xf>
    <xf numFmtId="0" fontId="11" fillId="0" borderId="1" xfId="0" applyFont="1" applyBorder="1" applyAlignment="1">
      <alignment horizontal="left" wrapText="1"/>
    </xf>
    <xf numFmtId="0" fontId="14" fillId="0" borderId="3" xfId="0" applyFont="1" applyBorder="1" applyAlignment="1">
      <alignment horizontal="left" wrapText="1"/>
    </xf>
    <xf numFmtId="0" fontId="14" fillId="0" borderId="2" xfId="0" applyFont="1" applyBorder="1" applyAlignment="1">
      <alignment horizontal="left" wrapText="1"/>
    </xf>
    <xf numFmtId="9" fontId="14" fillId="2" borderId="1" xfId="0" applyNumberFormat="1" applyFont="1" applyFill="1" applyBorder="1" applyAlignment="1">
      <alignment horizontal="left"/>
    </xf>
    <xf numFmtId="9" fontId="14" fillId="0" borderId="1" xfId="0" applyNumberFormat="1" applyFont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left"/>
    </xf>
    <xf numFmtId="9" fontId="10" fillId="0" borderId="0" xfId="0" applyNumberFormat="1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0" fillId="0" borderId="0" xfId="0" applyFont="1" applyAlignment="1">
      <alignment horizontal="center" wrapText="1"/>
    </xf>
    <xf numFmtId="9" fontId="10" fillId="0" borderId="4" xfId="0" applyNumberFormat="1" applyFont="1" applyBorder="1" applyAlignment="1">
      <alignment horizontal="left"/>
    </xf>
    <xf numFmtId="9" fontId="14" fillId="2" borderId="5" xfId="0" applyNumberFormat="1" applyFont="1" applyFill="1" applyBorder="1" applyAlignment="1">
      <alignment horizontal="left"/>
    </xf>
    <xf numFmtId="0" fontId="10" fillId="0" borderId="6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9" fontId="12" fillId="0" borderId="0" xfId="0" applyNumberFormat="1" applyFont="1" applyBorder="1" applyAlignment="1">
      <alignment horizontal="center"/>
    </xf>
    <xf numFmtId="4" fontId="10" fillId="0" borderId="0" xfId="0" applyNumberFormat="1" applyFont="1" applyBorder="1" applyAlignment="1">
      <alignment horizontal="left"/>
    </xf>
    <xf numFmtId="9" fontId="14" fillId="2" borderId="0" xfId="0" applyNumberFormat="1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left" wrapText="1"/>
    </xf>
    <xf numFmtId="164" fontId="2" fillId="2" borderId="0" xfId="0" applyNumberFormat="1" applyFont="1" applyFill="1" applyBorder="1" applyAlignment="1">
      <alignment horizontal="center" vertical="center"/>
    </xf>
    <xf numFmtId="9" fontId="10" fillId="0" borderId="1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4" fontId="1" fillId="0" borderId="0" xfId="0" applyNumberFormat="1" applyFont="1" applyFill="1" applyBorder="1" applyAlignment="1">
      <alignment horizontal="center" vertical="center"/>
    </xf>
    <xf numFmtId="9" fontId="14" fillId="0" borderId="0" xfId="0" applyNumberFormat="1" applyFont="1" applyBorder="1" applyAlignment="1">
      <alignment horizontal="center" vertical="center"/>
    </xf>
    <xf numFmtId="9" fontId="14" fillId="2" borderId="0" xfId="0" applyNumberFormat="1" applyFont="1" applyFill="1" applyBorder="1" applyAlignment="1">
      <alignment horizontal="center" vertical="center"/>
    </xf>
    <xf numFmtId="14" fontId="1" fillId="2" borderId="0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4" fontId="2" fillId="2" borderId="0" xfId="0" applyNumberFormat="1" applyFont="1" applyFill="1" applyBorder="1" applyAlignment="1">
      <alignment horizontal="center" vertical="center" wrapText="1"/>
    </xf>
    <xf numFmtId="4" fontId="1" fillId="2" borderId="0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wrapText="1"/>
    </xf>
    <xf numFmtId="0" fontId="10" fillId="2" borderId="0" xfId="0" applyNumberFormat="1" applyFont="1" applyFill="1" applyBorder="1" applyAlignment="1">
      <alignment horizontal="left"/>
    </xf>
    <xf numFmtId="0" fontId="10" fillId="2" borderId="0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left" wrapText="1"/>
    </xf>
    <xf numFmtId="0" fontId="14" fillId="0" borderId="1" xfId="0" applyNumberFormat="1" applyFont="1" applyBorder="1" applyAlignment="1">
      <alignment horizontal="left" wrapText="1"/>
    </xf>
    <xf numFmtId="0" fontId="11" fillId="2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9" fontId="10" fillId="0" borderId="5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4" fillId="0" borderId="2" xfId="0" applyNumberFormat="1" applyFont="1" applyBorder="1" applyAlignment="1">
      <alignment horizontal="center" vertical="center" wrapText="1"/>
    </xf>
    <xf numFmtId="0" fontId="10" fillId="2" borderId="0" xfId="0" applyNumberFormat="1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9" fontId="10" fillId="2" borderId="1" xfId="0" applyNumberFormat="1" applyFont="1" applyFill="1" applyBorder="1" applyAlignment="1">
      <alignment horizontal="center" vertical="center"/>
    </xf>
    <xf numFmtId="164" fontId="10" fillId="2" borderId="1" xfId="0" applyNumberFormat="1" applyFont="1" applyFill="1" applyBorder="1" applyAlignment="1">
      <alignment horizontal="center" vertical="center"/>
    </xf>
    <xf numFmtId="164" fontId="14" fillId="2" borderId="3" xfId="0" applyNumberFormat="1" applyFont="1" applyFill="1" applyBorder="1" applyAlignment="1">
      <alignment horizontal="center" vertical="center"/>
    </xf>
    <xf numFmtId="9" fontId="10" fillId="2" borderId="0" xfId="0" applyNumberFormat="1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9" fontId="10" fillId="0" borderId="4" xfId="0" applyNumberFormat="1" applyFont="1" applyBorder="1" applyAlignment="1">
      <alignment horizontal="center" vertical="center"/>
    </xf>
    <xf numFmtId="0" fontId="17" fillId="0" borderId="1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wrapText="1"/>
    </xf>
    <xf numFmtId="0" fontId="11" fillId="0" borderId="0" xfId="0" applyFont="1" applyBorder="1" applyAlignment="1">
      <alignment horizontal="left"/>
    </xf>
    <xf numFmtId="9" fontId="18" fillId="0" borderId="1" xfId="0" applyNumberFormat="1" applyFont="1" applyBorder="1" applyAlignment="1">
      <alignment horizontal="left" wrapText="1"/>
    </xf>
    <xf numFmtId="14" fontId="1" fillId="2" borderId="1" xfId="0" applyNumberFormat="1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/>
    </xf>
    <xf numFmtId="9" fontId="14" fillId="2" borderId="7" xfId="0" applyNumberFormat="1" applyFont="1" applyFill="1" applyBorder="1" applyAlignment="1">
      <alignment horizontal="center" vertical="center"/>
    </xf>
    <xf numFmtId="9" fontId="18" fillId="0" borderId="1" xfId="0" applyNumberFormat="1" applyFont="1" applyBorder="1" applyAlignment="1">
      <alignment horizontal="center" vertical="center" wrapText="1"/>
    </xf>
    <xf numFmtId="4" fontId="10" fillId="0" borderId="3" xfId="0" applyNumberFormat="1" applyFont="1" applyBorder="1" applyAlignment="1">
      <alignment horizontal="center" vertical="center"/>
    </xf>
    <xf numFmtId="9" fontId="10" fillId="0" borderId="0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left" wrapText="1"/>
    </xf>
    <xf numFmtId="9" fontId="14" fillId="2" borderId="1" xfId="0" applyNumberFormat="1" applyFont="1" applyFill="1" applyBorder="1" applyAlignment="1">
      <alignment horizontal="center" vertical="center"/>
    </xf>
    <xf numFmtId="4" fontId="10" fillId="2" borderId="1" xfId="0" applyNumberFormat="1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/>
    </xf>
    <xf numFmtId="4" fontId="10" fillId="2" borderId="3" xfId="0" applyNumberFormat="1" applyFont="1" applyFill="1" applyBorder="1" applyAlignment="1">
      <alignment horizontal="center" vertical="center" wrapText="1"/>
    </xf>
    <xf numFmtId="4" fontId="10" fillId="2" borderId="0" xfId="0" applyNumberFormat="1" applyFont="1" applyFill="1" applyBorder="1" applyAlignment="1">
      <alignment horizontal="center" vertical="center" wrapText="1"/>
    </xf>
    <xf numFmtId="4" fontId="10" fillId="2" borderId="0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center" vertical="center"/>
    </xf>
    <xf numFmtId="4" fontId="7" fillId="3" borderId="1" xfId="0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center" vertical="center" wrapText="1"/>
    </xf>
    <xf numFmtId="9" fontId="1" fillId="3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9" fontId="10" fillId="0" borderId="3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/>
    </xf>
    <xf numFmtId="0" fontId="10" fillId="3" borderId="1" xfId="0" applyFont="1" applyFill="1" applyBorder="1" applyAlignment="1">
      <alignment horizontal="left"/>
    </xf>
    <xf numFmtId="0" fontId="15" fillId="3" borderId="1" xfId="0" applyFont="1" applyFill="1" applyBorder="1" applyAlignment="1">
      <alignment horizontal="left" wrapText="1"/>
    </xf>
    <xf numFmtId="0" fontId="11" fillId="3" borderId="1" xfId="0" applyFont="1" applyFill="1" applyBorder="1" applyAlignment="1">
      <alignment horizontal="left" wrapText="1"/>
    </xf>
    <xf numFmtId="0" fontId="10" fillId="3" borderId="1" xfId="0" applyNumberFormat="1" applyFont="1" applyFill="1" applyBorder="1" applyAlignment="1">
      <alignment horizontal="center" vertical="center" wrapText="1"/>
    </xf>
    <xf numFmtId="0" fontId="10" fillId="3" borderId="1" xfId="0" applyNumberFormat="1" applyFont="1" applyFill="1" applyBorder="1" applyAlignment="1">
      <alignment horizontal="left" wrapText="1"/>
    </xf>
    <xf numFmtId="4" fontId="10" fillId="3" borderId="1" xfId="0" applyNumberFormat="1" applyFont="1" applyFill="1" applyBorder="1" applyAlignment="1">
      <alignment horizontal="center" vertical="center" wrapText="1"/>
    </xf>
    <xf numFmtId="4" fontId="10" fillId="3" borderId="1" xfId="0" applyNumberFormat="1" applyFont="1" applyFill="1" applyBorder="1" applyAlignment="1">
      <alignment horizontal="center" vertical="center"/>
    </xf>
    <xf numFmtId="9" fontId="10" fillId="3" borderId="1" xfId="0" applyNumberFormat="1" applyFont="1" applyFill="1" applyBorder="1" applyAlignment="1">
      <alignment horizontal="center" vertical="center"/>
    </xf>
    <xf numFmtId="9" fontId="10" fillId="3" borderId="1" xfId="0" applyNumberFormat="1" applyFont="1" applyFill="1" applyBorder="1" applyAlignment="1">
      <alignment horizontal="left"/>
    </xf>
    <xf numFmtId="0" fontId="17" fillId="3" borderId="1" xfId="0" applyFont="1" applyFill="1" applyBorder="1" applyAlignment="1">
      <alignment horizontal="left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left" wrapText="1"/>
    </xf>
    <xf numFmtId="0" fontId="10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9" fontId="18" fillId="3" borderId="2" xfId="0" applyNumberFormat="1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left"/>
    </xf>
    <xf numFmtId="4" fontId="14" fillId="2" borderId="2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9" fontId="14" fillId="0" borderId="7" xfId="0" applyNumberFormat="1" applyFont="1" applyBorder="1" applyAlignment="1">
      <alignment horizontal="center" vertical="center"/>
    </xf>
    <xf numFmtId="4" fontId="14" fillId="0" borderId="2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/>
    </xf>
    <xf numFmtId="0" fontId="22" fillId="0" borderId="1" xfId="0" applyFont="1" applyBorder="1" applyAlignment="1">
      <alignment horizontal="left"/>
    </xf>
    <xf numFmtId="0" fontId="22" fillId="0" borderId="1" xfId="0" applyNumberFormat="1" applyFont="1" applyBorder="1" applyAlignment="1">
      <alignment horizontal="center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/>
    </xf>
    <xf numFmtId="0" fontId="22" fillId="2" borderId="1" xfId="0" applyFont="1" applyFill="1" applyBorder="1" applyAlignment="1">
      <alignment horizontal="center" vertical="center"/>
    </xf>
    <xf numFmtId="0" fontId="2" fillId="4" borderId="1" xfId="0" applyNumberFormat="1" applyFont="1" applyFill="1" applyBorder="1" applyAlignment="1" applyProtection="1">
      <alignment vertical="center" wrapText="1"/>
      <protection locked="0"/>
    </xf>
    <xf numFmtId="0" fontId="0" fillId="3" borderId="1" xfId="0" applyFill="1" applyBorder="1" applyAlignment="1">
      <alignment horizontal="left"/>
    </xf>
    <xf numFmtId="0" fontId="14" fillId="0" borderId="0" xfId="0" applyFont="1" applyBorder="1" applyAlignment="1">
      <alignment horizontal="center"/>
    </xf>
    <xf numFmtId="0" fontId="1" fillId="2" borderId="0" xfId="0" applyFont="1" applyFill="1" applyBorder="1" applyAlignment="1">
      <alignment horizontal="left" vertical="center" wrapText="1"/>
    </xf>
    <xf numFmtId="0" fontId="18" fillId="2" borderId="0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164" fontId="14" fillId="0" borderId="0" xfId="0" applyNumberFormat="1" applyFont="1" applyFill="1" applyBorder="1" applyAlignment="1">
      <alignment horizontal="center" vertical="center"/>
    </xf>
    <xf numFmtId="9" fontId="14" fillId="2" borderId="2" xfId="0" applyNumberFormat="1" applyFont="1" applyFill="1" applyBorder="1" applyAlignment="1">
      <alignment horizontal="center" vertical="center"/>
    </xf>
    <xf numFmtId="9" fontId="14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4" fontId="14" fillId="2" borderId="2" xfId="0" applyNumberFormat="1" applyFont="1" applyFill="1" applyBorder="1" applyAlignment="1">
      <alignment horizontal="center" vertical="center"/>
    </xf>
    <xf numFmtId="14" fontId="14" fillId="0" borderId="2" xfId="0" applyNumberFormat="1" applyFont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4" fontId="1" fillId="2" borderId="2" xfId="0" applyNumberFormat="1" applyFont="1" applyFill="1" applyBorder="1" applyAlignment="1">
      <alignment horizontal="center" vertical="center" wrapText="1"/>
    </xf>
    <xf numFmtId="14" fontId="2" fillId="2" borderId="2" xfId="0" applyNumberFormat="1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left"/>
    </xf>
    <xf numFmtId="0" fontId="16" fillId="0" borderId="0" xfId="0" applyFont="1" applyAlignment="1">
      <alignment horizontal="center" wrapText="1"/>
    </xf>
    <xf numFmtId="0" fontId="0" fillId="0" borderId="0" xfId="0" applyAlignment="1">
      <alignment wrapText="1"/>
    </xf>
    <xf numFmtId="4" fontId="1" fillId="2" borderId="3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left"/>
    </xf>
    <xf numFmtId="9" fontId="18" fillId="2" borderId="1" xfId="0" applyNumberFormat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left" wrapText="1"/>
    </xf>
    <xf numFmtId="0" fontId="14" fillId="2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14" fillId="0" borderId="0" xfId="0" applyFont="1" applyBorder="1" applyAlignment="1">
      <alignment horizontal="left"/>
    </xf>
    <xf numFmtId="0" fontId="14" fillId="3" borderId="1" xfId="0" applyFont="1" applyFill="1" applyBorder="1" applyAlignment="1">
      <alignment horizontal="left"/>
    </xf>
    <xf numFmtId="0" fontId="15" fillId="3" borderId="1" xfId="0" applyNumberFormat="1" applyFont="1" applyFill="1" applyBorder="1" applyAlignment="1" applyProtection="1">
      <alignment vertical="center" wrapText="1"/>
      <protection locked="0"/>
    </xf>
    <xf numFmtId="0" fontId="14" fillId="3" borderId="1" xfId="0" applyFont="1" applyFill="1" applyBorder="1" applyAlignment="1">
      <alignment horizontal="center" vertical="center" wrapText="1"/>
    </xf>
    <xf numFmtId="14" fontId="14" fillId="3" borderId="1" xfId="0" applyNumberFormat="1" applyFont="1" applyFill="1" applyBorder="1" applyAlignment="1">
      <alignment horizontal="center" vertical="center" wrapText="1"/>
    </xf>
    <xf numFmtId="4" fontId="14" fillId="3" borderId="1" xfId="0" applyNumberFormat="1" applyFont="1" applyFill="1" applyBorder="1" applyAlignment="1">
      <alignment horizontal="center" vertical="center" wrapText="1"/>
    </xf>
    <xf numFmtId="4" fontId="14" fillId="3" borderId="1" xfId="0" applyNumberFormat="1" applyFont="1" applyFill="1" applyBorder="1" applyAlignment="1">
      <alignment horizontal="center" vertical="center"/>
    </xf>
    <xf numFmtId="9" fontId="14" fillId="3" borderId="2" xfId="0" applyNumberFormat="1" applyFont="1" applyFill="1" applyBorder="1" applyAlignment="1">
      <alignment horizontal="center" vertical="center"/>
    </xf>
    <xf numFmtId="9" fontId="14" fillId="3" borderId="1" xfId="0" applyNumberFormat="1" applyFont="1" applyFill="1" applyBorder="1" applyAlignment="1">
      <alignment horizontal="center" vertical="center"/>
    </xf>
    <xf numFmtId="0" fontId="18" fillId="0" borderId="0" xfId="0" applyFont="1" applyBorder="1" applyAlignment="1">
      <alignment horizontal="left"/>
    </xf>
    <xf numFmtId="0" fontId="16" fillId="0" borderId="0" xfId="0" applyFont="1" applyAlignment="1">
      <alignment horizontal="center" wrapText="1"/>
    </xf>
    <xf numFmtId="0" fontId="0" fillId="0" borderId="0" xfId="0" applyAlignment="1">
      <alignment wrapText="1"/>
    </xf>
    <xf numFmtId="9" fontId="14" fillId="2" borderId="2" xfId="0" applyNumberFormat="1" applyFont="1" applyFill="1" applyBorder="1" applyAlignment="1">
      <alignment horizontal="center" vertical="center"/>
    </xf>
    <xf numFmtId="9" fontId="14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4" fontId="1" fillId="2" borderId="2" xfId="0" applyNumberFormat="1" applyFont="1" applyFill="1" applyBorder="1" applyAlignment="1">
      <alignment horizontal="center" vertical="center" wrapText="1"/>
    </xf>
    <xf numFmtId="14" fontId="2" fillId="2" borderId="2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14" fontId="14" fillId="0" borderId="2" xfId="0" applyNumberFormat="1" applyFont="1" applyBorder="1" applyAlignment="1">
      <alignment horizontal="center" vertical="center" wrapText="1"/>
    </xf>
    <xf numFmtId="4" fontId="14" fillId="2" borderId="2" xfId="0" applyNumberFormat="1" applyFont="1" applyFill="1" applyBorder="1" applyAlignment="1">
      <alignment horizontal="center" vertical="center"/>
    </xf>
    <xf numFmtId="0" fontId="18" fillId="0" borderId="0" xfId="0" applyFont="1" applyBorder="1" applyAlignment="1">
      <alignment horizontal="left"/>
    </xf>
    <xf numFmtId="0" fontId="16" fillId="0" borderId="0" xfId="0" applyFont="1" applyAlignment="1">
      <alignment horizontal="center" wrapText="1"/>
    </xf>
    <xf numFmtId="0" fontId="0" fillId="0" borderId="0" xfId="0" applyAlignment="1">
      <alignment wrapText="1"/>
    </xf>
    <xf numFmtId="9" fontId="14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9" fontId="14" fillId="2" borderId="2" xfId="0" applyNumberFormat="1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4" fontId="1" fillId="2" borderId="2" xfId="0" applyNumberFormat="1" applyFont="1" applyFill="1" applyBorder="1" applyAlignment="1">
      <alignment horizontal="center" vertical="center" wrapText="1"/>
    </xf>
    <xf numFmtId="14" fontId="2" fillId="2" borderId="2" xfId="0" applyNumberFormat="1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14" fontId="14" fillId="0" borderId="2" xfId="0" applyNumberFormat="1" applyFont="1" applyBorder="1" applyAlignment="1">
      <alignment horizontal="center" vertical="center" wrapText="1"/>
    </xf>
    <xf numFmtId="4" fontId="14" fillId="2" borderId="2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4" fillId="0" borderId="3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14" fontId="14" fillId="0" borderId="3" xfId="0" applyNumberFormat="1" applyFont="1" applyBorder="1" applyAlignment="1">
      <alignment horizontal="center" vertical="center" wrapText="1"/>
    </xf>
    <xf numFmtId="14" fontId="14" fillId="0" borderId="2" xfId="0" applyNumberFormat="1" applyFont="1" applyBorder="1" applyAlignment="1">
      <alignment horizontal="center" vertical="center" wrapText="1"/>
    </xf>
    <xf numFmtId="4" fontId="14" fillId="2" borderId="3" xfId="0" applyNumberFormat="1" applyFont="1" applyFill="1" applyBorder="1" applyAlignment="1">
      <alignment horizontal="center" vertical="center"/>
    </xf>
    <xf numFmtId="4" fontId="14" fillId="2" borderId="2" xfId="0" applyNumberFormat="1" applyFont="1" applyFill="1" applyBorder="1" applyAlignment="1">
      <alignment horizontal="center" vertical="center"/>
    </xf>
    <xf numFmtId="9" fontId="14" fillId="0" borderId="3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9" fontId="18" fillId="0" borderId="3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4" fontId="1" fillId="2" borderId="3" xfId="0" applyNumberFormat="1" applyFont="1" applyFill="1" applyBorder="1" applyAlignment="1">
      <alignment horizontal="center" vertical="center" wrapText="1"/>
    </xf>
    <xf numFmtId="14" fontId="1" fillId="2" borderId="2" xfId="0" applyNumberFormat="1" applyFont="1" applyFill="1" applyBorder="1" applyAlignment="1">
      <alignment horizontal="center" vertical="center" wrapText="1"/>
    </xf>
    <xf numFmtId="14" fontId="2" fillId="2" borderId="3" xfId="0" applyNumberFormat="1" applyFont="1" applyFill="1" applyBorder="1" applyAlignment="1">
      <alignment horizontal="center" vertical="center" wrapText="1"/>
    </xf>
    <xf numFmtId="14" fontId="2" fillId="2" borderId="2" xfId="0" applyNumberFormat="1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/>
    </xf>
    <xf numFmtId="9" fontId="14" fillId="0" borderId="2" xfId="0" applyNumberFormat="1" applyFont="1" applyBorder="1" applyAlignment="1">
      <alignment horizontal="center" vertical="center"/>
    </xf>
    <xf numFmtId="9" fontId="18" fillId="0" borderId="2" xfId="0" applyNumberFormat="1" applyFont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left" vertical="center" wrapText="1"/>
    </xf>
    <xf numFmtId="0" fontId="26" fillId="0" borderId="1" xfId="0" applyFont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24" fillId="0" borderId="1" xfId="0" applyFont="1" applyBorder="1" applyAlignment="1">
      <alignment vertical="center" wrapText="1"/>
    </xf>
    <xf numFmtId="9" fontId="14" fillId="2" borderId="3" xfId="0" applyNumberFormat="1" applyFont="1" applyFill="1" applyBorder="1" applyAlignment="1">
      <alignment horizontal="center" vertical="center"/>
    </xf>
    <xf numFmtId="9" fontId="14" fillId="2" borderId="2" xfId="0" applyNumberFormat="1" applyFont="1" applyFill="1" applyBorder="1" applyAlignment="1">
      <alignment horizontal="center" vertical="center"/>
    </xf>
    <xf numFmtId="0" fontId="19" fillId="0" borderId="0" xfId="0" applyFont="1" applyBorder="1" applyAlignment="1">
      <alignment horizontal="left" wrapText="1"/>
    </xf>
    <xf numFmtId="0" fontId="18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0" fontId="12" fillId="0" borderId="0" xfId="0" applyFont="1" applyBorder="1" applyAlignment="1">
      <alignment horizontal="left"/>
    </xf>
    <xf numFmtId="0" fontId="16" fillId="0" borderId="0" xfId="0" applyFont="1" applyAlignment="1">
      <alignment horizontal="center" wrapText="1"/>
    </xf>
    <xf numFmtId="0" fontId="0" fillId="0" borderId="0" xfId="0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1"/>
  <sheetViews>
    <sheetView tabSelected="1" topLeftCell="A4" zoomScale="96" zoomScaleNormal="96" workbookViewId="0">
      <pane ySplit="3228" topLeftCell="A46" activePane="bottomLeft"/>
      <selection activeCell="I2" sqref="I1:I1048576"/>
      <selection pane="bottomLeft" activeCell="L47" sqref="L47"/>
    </sheetView>
  </sheetViews>
  <sheetFormatPr defaultColWidth="9.109375" defaultRowHeight="13.8"/>
  <cols>
    <col min="1" max="1" width="3.6640625" style="3" customWidth="1"/>
    <col min="2" max="2" width="18.6640625" style="3" customWidth="1"/>
    <col min="3" max="3" width="7.5546875" style="18" customWidth="1"/>
    <col min="4" max="4" width="9.44140625" style="51" customWidth="1"/>
    <col min="5" max="5" width="9.33203125" style="51" customWidth="1"/>
    <col min="6" max="6" width="8.109375" style="3" customWidth="1"/>
    <col min="7" max="7" width="9.5546875" style="63" customWidth="1"/>
    <col min="8" max="8" width="10.5546875" style="51" customWidth="1"/>
    <col min="9" max="9" width="9.33203125" style="63" customWidth="1"/>
    <col min="10" max="10" width="10.44140625" style="63" customWidth="1"/>
    <col min="11" max="11" width="8.88671875" style="51" customWidth="1"/>
    <col min="12" max="12" width="7.44140625" style="51" customWidth="1"/>
    <col min="13" max="13" width="7.88671875" style="51" customWidth="1"/>
    <col min="14" max="14" width="8.6640625" style="3" customWidth="1"/>
    <col min="15" max="15" width="9.44140625" style="3" customWidth="1"/>
    <col min="16" max="16" width="10" style="3" customWidth="1"/>
    <col min="17" max="16384" width="9.109375" style="3"/>
  </cols>
  <sheetData>
    <row r="1" spans="1:17" s="1" customFormat="1" ht="38.25" customHeight="1">
      <c r="A1" s="194" t="s">
        <v>148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20"/>
      <c r="P1" s="20"/>
    </row>
    <row r="2" spans="1:17" ht="114.75" customHeight="1">
      <c r="A2" s="6" t="s">
        <v>33</v>
      </c>
      <c r="B2" s="2" t="s">
        <v>14</v>
      </c>
      <c r="C2" s="2" t="s">
        <v>34</v>
      </c>
      <c r="D2" s="2" t="s">
        <v>22</v>
      </c>
      <c r="E2" s="2" t="s">
        <v>0</v>
      </c>
      <c r="F2" s="2" t="s">
        <v>35</v>
      </c>
      <c r="G2" s="47" t="s">
        <v>36</v>
      </c>
      <c r="H2" s="2" t="s">
        <v>37</v>
      </c>
      <c r="I2" s="47" t="s">
        <v>23</v>
      </c>
      <c r="J2" s="47" t="s">
        <v>38</v>
      </c>
      <c r="K2" s="2" t="s">
        <v>19</v>
      </c>
      <c r="L2" s="2" t="s">
        <v>1</v>
      </c>
      <c r="M2" s="2" t="s">
        <v>39</v>
      </c>
      <c r="N2" s="2" t="s">
        <v>21</v>
      </c>
    </row>
    <row r="3" spans="1:17" s="103" customFormat="1" ht="1.5" hidden="1" customHeight="1">
      <c r="A3" s="17"/>
      <c r="B3" s="2" t="s">
        <v>14</v>
      </c>
      <c r="C3" s="2" t="s">
        <v>13</v>
      </c>
      <c r="D3" s="2" t="s">
        <v>22</v>
      </c>
      <c r="E3" s="2" t="s">
        <v>0</v>
      </c>
      <c r="F3" s="2"/>
      <c r="G3" s="47" t="s">
        <v>30</v>
      </c>
      <c r="H3" s="2" t="s">
        <v>31</v>
      </c>
      <c r="I3" s="47" t="s">
        <v>23</v>
      </c>
      <c r="J3" s="47"/>
      <c r="K3" s="2" t="s">
        <v>19</v>
      </c>
      <c r="L3" s="2"/>
      <c r="M3" s="2"/>
      <c r="N3" s="2" t="s">
        <v>1</v>
      </c>
      <c r="O3" s="102" t="s">
        <v>20</v>
      </c>
      <c r="P3" s="102" t="s">
        <v>21</v>
      </c>
    </row>
    <row r="4" spans="1:17" ht="14.25" customHeight="1">
      <c r="A4" s="128">
        <v>1</v>
      </c>
      <c r="B4" s="129">
        <v>2</v>
      </c>
      <c r="C4" s="129">
        <v>3</v>
      </c>
      <c r="D4" s="130">
        <v>4</v>
      </c>
      <c r="E4" s="130">
        <v>5</v>
      </c>
      <c r="F4" s="131">
        <v>6</v>
      </c>
      <c r="G4" s="132">
        <v>7</v>
      </c>
      <c r="H4" s="130">
        <v>8</v>
      </c>
      <c r="I4" s="132">
        <v>9</v>
      </c>
      <c r="J4" s="132">
        <v>10</v>
      </c>
      <c r="K4" s="130">
        <v>11</v>
      </c>
      <c r="L4" s="130">
        <v>12</v>
      </c>
      <c r="M4" s="130">
        <v>13</v>
      </c>
      <c r="N4" s="131">
        <v>14</v>
      </c>
      <c r="O4" s="24"/>
      <c r="P4" s="24"/>
    </row>
    <row r="5" spans="1:17" ht="17.25" customHeight="1">
      <c r="A5" s="17"/>
      <c r="B5" s="4" t="s">
        <v>15</v>
      </c>
      <c r="C5" s="72"/>
      <c r="D5" s="52"/>
      <c r="E5" s="49"/>
      <c r="F5" s="5"/>
      <c r="G5" s="64"/>
      <c r="H5" s="49"/>
      <c r="I5" s="64"/>
      <c r="J5" s="64"/>
      <c r="K5" s="49"/>
      <c r="L5" s="49"/>
      <c r="M5" s="49"/>
      <c r="N5" s="5"/>
      <c r="O5" s="24"/>
      <c r="P5" s="24"/>
    </row>
    <row r="6" spans="1:17" ht="39.75" customHeight="1">
      <c r="A6" s="104"/>
      <c r="B6" s="105" t="s">
        <v>12</v>
      </c>
      <c r="C6" s="113"/>
      <c r="D6" s="114"/>
      <c r="E6" s="114"/>
      <c r="F6" s="115"/>
      <c r="G6" s="109"/>
      <c r="H6" s="116"/>
      <c r="I6" s="111"/>
      <c r="J6" s="111"/>
      <c r="K6" s="111"/>
      <c r="L6" s="111"/>
      <c r="M6" s="111"/>
      <c r="N6" s="112"/>
      <c r="O6" s="16"/>
      <c r="P6" s="103"/>
    </row>
    <row r="7" spans="1:17" ht="1.5" hidden="1" customHeight="1">
      <c r="A7" s="120">
        <v>2</v>
      </c>
      <c r="B7" s="122"/>
      <c r="C7" s="122"/>
      <c r="D7" s="123"/>
      <c r="E7" s="123"/>
      <c r="F7" s="122"/>
      <c r="G7" s="124"/>
      <c r="H7" s="123"/>
      <c r="I7" s="124"/>
      <c r="J7" s="124"/>
      <c r="K7" s="123"/>
      <c r="L7" s="123"/>
      <c r="M7" s="123"/>
    </row>
    <row r="8" spans="1:17" s="103" customFormat="1" ht="52.5" customHeight="1">
      <c r="A8" s="120">
        <v>1</v>
      </c>
      <c r="B8" s="11" t="s">
        <v>46</v>
      </c>
      <c r="C8" s="11" t="s">
        <v>40</v>
      </c>
      <c r="D8" s="192" t="s">
        <v>47</v>
      </c>
      <c r="E8" s="59" t="s">
        <v>43</v>
      </c>
      <c r="F8" s="46"/>
      <c r="G8" s="121">
        <v>3984.1</v>
      </c>
      <c r="H8" s="193">
        <f>98.75+70.18+0.98</f>
        <v>169.91</v>
      </c>
      <c r="I8" s="193">
        <v>3814.2</v>
      </c>
      <c r="J8" s="193"/>
      <c r="K8" s="13">
        <f>(H8+J8)/G8</f>
        <v>4.2647021912100597E-2</v>
      </c>
      <c r="L8" s="125">
        <v>0.1</v>
      </c>
      <c r="M8" s="125" t="s">
        <v>25</v>
      </c>
      <c r="N8" s="76" t="s">
        <v>57</v>
      </c>
      <c r="O8" s="25"/>
      <c r="P8" s="84"/>
    </row>
    <row r="9" spans="1:17" ht="40.5" customHeight="1">
      <c r="A9" s="104"/>
      <c r="B9" s="105" t="s">
        <v>17</v>
      </c>
      <c r="C9" s="106"/>
      <c r="D9" s="107"/>
      <c r="E9" s="107"/>
      <c r="F9" s="108"/>
      <c r="G9" s="109"/>
      <c r="H9" s="110"/>
      <c r="I9" s="111"/>
      <c r="J9" s="111"/>
      <c r="K9" s="111"/>
      <c r="L9" s="111"/>
      <c r="M9" s="111"/>
      <c r="N9" s="112"/>
      <c r="O9" s="16"/>
      <c r="P9" s="103"/>
    </row>
    <row r="10" spans="1:17" s="17" customFormat="1" ht="54.75" hidden="1" customHeight="1">
      <c r="B10" s="8" t="s">
        <v>4</v>
      </c>
      <c r="C10" s="9" t="s">
        <v>4</v>
      </c>
      <c r="D10" s="53" t="s">
        <v>3</v>
      </c>
      <c r="E10" s="53" t="s">
        <v>3</v>
      </c>
      <c r="F10" s="6"/>
      <c r="G10" s="87">
        <v>37883.4</v>
      </c>
      <c r="H10" s="62">
        <f>232.8</f>
        <v>232.8</v>
      </c>
      <c r="I10" s="65">
        <v>0</v>
      </c>
      <c r="J10" s="65"/>
      <c r="K10" s="32" t="e">
        <f>(#REF!+#REF!)/#REF!</f>
        <v>#REF!</v>
      </c>
      <c r="L10" s="71"/>
      <c r="M10" s="71"/>
      <c r="N10" s="21">
        <v>0</v>
      </c>
      <c r="O10" s="16"/>
      <c r="P10" s="103"/>
      <c r="Q10" s="23"/>
    </row>
    <row r="11" spans="1:17" s="17" customFormat="1" ht="51.75" hidden="1" customHeight="1">
      <c r="B11" s="8" t="s">
        <v>6</v>
      </c>
      <c r="C11" s="9" t="s">
        <v>6</v>
      </c>
      <c r="D11" s="53" t="s">
        <v>7</v>
      </c>
      <c r="E11" s="53" t="s">
        <v>7</v>
      </c>
      <c r="F11" s="6"/>
      <c r="G11" s="87">
        <v>28453.7</v>
      </c>
      <c r="H11" s="62">
        <f>793.75+16516.03</f>
        <v>17309.78</v>
      </c>
      <c r="I11" s="65">
        <v>0.9</v>
      </c>
      <c r="J11" s="65"/>
      <c r="K11" s="32" t="e">
        <f>(#REF!+#REF!)/#REF!</f>
        <v>#REF!</v>
      </c>
      <c r="L11" s="71"/>
      <c r="M11" s="71"/>
      <c r="N11" s="21">
        <v>0.9</v>
      </c>
      <c r="O11" s="16"/>
      <c r="P11" s="103"/>
      <c r="Q11" s="23"/>
    </row>
    <row r="12" spans="1:17" ht="39.75" customHeight="1">
      <c r="A12" s="17">
        <v>2</v>
      </c>
      <c r="B12" s="8" t="s">
        <v>66</v>
      </c>
      <c r="C12" s="196" t="s">
        <v>45</v>
      </c>
      <c r="D12" s="196" t="s">
        <v>51</v>
      </c>
      <c r="E12" s="198" t="s">
        <v>70</v>
      </c>
      <c r="F12" s="196"/>
      <c r="G12" s="200">
        <v>1995.4</v>
      </c>
      <c r="H12" s="126">
        <f>762.4</f>
        <v>762.4</v>
      </c>
      <c r="I12" s="200" t="s">
        <v>134</v>
      </c>
      <c r="J12" s="193">
        <f>376.36</f>
        <v>376.36</v>
      </c>
      <c r="K12" s="202">
        <f>(H12+H13+J12+J13)/G12</f>
        <v>0.70287160469078891</v>
      </c>
      <c r="L12" s="184">
        <v>0.9</v>
      </c>
      <c r="M12" s="184" t="s">
        <v>25</v>
      </c>
      <c r="N12" s="204" t="s">
        <v>50</v>
      </c>
      <c r="O12" s="83"/>
      <c r="P12" s="84"/>
    </row>
    <row r="13" spans="1:17" ht="66" customHeight="1">
      <c r="A13" s="120">
        <v>3</v>
      </c>
      <c r="B13" s="8" t="s">
        <v>73</v>
      </c>
      <c r="C13" s="197"/>
      <c r="D13" s="197"/>
      <c r="E13" s="199"/>
      <c r="F13" s="197"/>
      <c r="G13" s="201"/>
      <c r="H13" s="126">
        <f>263.75</f>
        <v>263.75</v>
      </c>
      <c r="I13" s="201"/>
      <c r="J13" s="193"/>
      <c r="K13" s="203"/>
      <c r="L13" s="184">
        <v>1</v>
      </c>
      <c r="M13" s="184" t="s">
        <v>26</v>
      </c>
      <c r="N13" s="205"/>
      <c r="O13" s="83"/>
      <c r="P13" s="84"/>
    </row>
    <row r="14" spans="1:17" ht="39" customHeight="1">
      <c r="A14" s="120">
        <f>A13+1</f>
        <v>4</v>
      </c>
      <c r="B14" s="8" t="s">
        <v>67</v>
      </c>
      <c r="C14" s="48" t="s">
        <v>45</v>
      </c>
      <c r="D14" s="191" t="s">
        <v>68</v>
      </c>
      <c r="E14" s="192" t="s">
        <v>69</v>
      </c>
      <c r="F14" s="191"/>
      <c r="G14" s="193">
        <v>1690.6</v>
      </c>
      <c r="H14" s="126"/>
      <c r="I14" s="193">
        <v>1690.6</v>
      </c>
      <c r="J14" s="193"/>
      <c r="K14" s="85">
        <v>0</v>
      </c>
      <c r="L14" s="186">
        <v>0.9</v>
      </c>
      <c r="M14" s="184" t="s">
        <v>25</v>
      </c>
      <c r="N14" s="81" t="s">
        <v>50</v>
      </c>
      <c r="O14" s="83"/>
      <c r="P14" s="84"/>
    </row>
    <row r="15" spans="1:17" ht="43.5" customHeight="1">
      <c r="A15" s="120">
        <f t="shared" ref="A15" si="0">A14+1</f>
        <v>5</v>
      </c>
      <c r="B15" s="8" t="s">
        <v>90</v>
      </c>
      <c r="C15" s="48" t="s">
        <v>91</v>
      </c>
      <c r="D15" s="48" t="s">
        <v>127</v>
      </c>
      <c r="E15" s="192" t="s">
        <v>105</v>
      </c>
      <c r="F15" s="191"/>
      <c r="G15" s="193">
        <v>12144.5</v>
      </c>
      <c r="H15" s="126">
        <f>2532.5</f>
        <v>2532.5</v>
      </c>
      <c r="I15" s="193">
        <v>9611.9</v>
      </c>
      <c r="J15" s="193"/>
      <c r="K15" s="13">
        <f>(H15+J15)/G15</f>
        <v>0.20853061056445304</v>
      </c>
      <c r="L15" s="184">
        <v>0.25</v>
      </c>
      <c r="M15" s="184"/>
      <c r="N15" s="185"/>
      <c r="O15" s="83"/>
      <c r="P15" s="84"/>
    </row>
    <row r="16" spans="1:17" ht="36.75" customHeight="1">
      <c r="A16" s="160"/>
      <c r="B16" s="105" t="s">
        <v>11</v>
      </c>
      <c r="C16" s="117"/>
      <c r="D16" s="116"/>
      <c r="E16" s="116"/>
      <c r="F16" s="104"/>
      <c r="G16" s="116"/>
      <c r="H16" s="110"/>
      <c r="I16" s="116"/>
      <c r="J16" s="116"/>
      <c r="K16" s="111"/>
      <c r="L16" s="111"/>
      <c r="M16" s="111"/>
      <c r="N16" s="118"/>
      <c r="O16" s="103"/>
      <c r="P16" s="103"/>
    </row>
    <row r="17" spans="1:16" ht="27" hidden="1" customHeight="1">
      <c r="A17" s="120">
        <v>14</v>
      </c>
      <c r="B17" s="8" t="s">
        <v>2</v>
      </c>
      <c r="C17" s="9" t="s">
        <v>2</v>
      </c>
      <c r="D17" s="49" t="s">
        <v>3</v>
      </c>
      <c r="E17" s="49" t="s">
        <v>3</v>
      </c>
      <c r="F17" s="17"/>
      <c r="G17" s="86">
        <v>67601.3</v>
      </c>
      <c r="H17" s="62">
        <f>9598.11+19.196+134.37+10231.1+3594.134+50.32</f>
        <v>23627.230000000003</v>
      </c>
      <c r="I17" s="65">
        <v>0.7</v>
      </c>
      <c r="J17" s="65"/>
      <c r="K17" s="101">
        <f>(H10+J10)/G10</f>
        <v>6.1451717638860296E-3</v>
      </c>
      <c r="L17" s="32"/>
      <c r="M17" s="32"/>
      <c r="N17" s="7">
        <v>0.7</v>
      </c>
      <c r="O17" s="16"/>
      <c r="P17" s="103"/>
    </row>
    <row r="18" spans="1:16" ht="27" hidden="1" customHeight="1">
      <c r="A18" s="120">
        <v>15</v>
      </c>
      <c r="B18" s="8" t="s">
        <v>10</v>
      </c>
      <c r="C18" s="9" t="s">
        <v>10</v>
      </c>
      <c r="D18" s="53" t="s">
        <v>9</v>
      </c>
      <c r="E18" s="53" t="s">
        <v>9</v>
      </c>
      <c r="F18" s="6"/>
      <c r="G18" s="86">
        <v>48937.9</v>
      </c>
      <c r="H18" s="62">
        <f>332.8</f>
        <v>332.8</v>
      </c>
      <c r="I18" s="65">
        <v>0</v>
      </c>
      <c r="J18" s="65"/>
      <c r="K18" s="101">
        <f>(H11+J11)/G11</f>
        <v>0.60834900206300058</v>
      </c>
      <c r="L18" s="32"/>
      <c r="M18" s="32"/>
      <c r="N18" s="7">
        <v>0</v>
      </c>
      <c r="O18" s="16"/>
      <c r="P18" s="26"/>
    </row>
    <row r="19" spans="1:16" ht="74.25" hidden="1" customHeight="1">
      <c r="A19" s="120">
        <v>16</v>
      </c>
      <c r="B19" s="8" t="s">
        <v>5</v>
      </c>
      <c r="C19" s="9" t="s">
        <v>5</v>
      </c>
      <c r="D19" s="53" t="s">
        <v>8</v>
      </c>
      <c r="E19" s="53" t="s">
        <v>8</v>
      </c>
      <c r="F19" s="6"/>
      <c r="G19" s="86">
        <v>31585.4</v>
      </c>
      <c r="H19" s="62">
        <f>7.2+2.4+1462.2+25029.72+350.42</f>
        <v>26851.94</v>
      </c>
      <c r="I19" s="85">
        <v>0.8</v>
      </c>
      <c r="J19" s="85"/>
      <c r="K19" s="101" t="e">
        <f>(#REF!+#REF!)/#REF!</f>
        <v>#REF!</v>
      </c>
      <c r="L19" s="32"/>
      <c r="M19" s="32"/>
      <c r="N19" s="12">
        <v>0.8</v>
      </c>
      <c r="O19" s="27"/>
      <c r="P19" s="26"/>
    </row>
    <row r="20" spans="1:16" ht="0.75" hidden="1" customHeight="1">
      <c r="A20" s="120">
        <v>17</v>
      </c>
      <c r="B20" s="8" t="s">
        <v>2</v>
      </c>
      <c r="C20" s="9" t="s">
        <v>32</v>
      </c>
      <c r="D20" s="49" t="s">
        <v>3</v>
      </c>
      <c r="E20" s="49" t="s">
        <v>3</v>
      </c>
      <c r="F20" s="17"/>
      <c r="G20" s="86">
        <v>67601.3</v>
      </c>
      <c r="H20" s="62">
        <f>9598.11+19.196+134.37+10231.1+3594.134+50.32</f>
        <v>23627.230000000003</v>
      </c>
      <c r="I20" s="66">
        <v>0.7</v>
      </c>
      <c r="J20" s="66"/>
      <c r="K20" s="101" t="e">
        <f>(#REF!+#REF!)/#REF!</f>
        <v>#REF!</v>
      </c>
      <c r="L20" s="71"/>
      <c r="M20" s="71"/>
      <c r="N20" s="21"/>
      <c r="O20" s="16"/>
      <c r="P20" s="103"/>
    </row>
    <row r="21" spans="1:16" ht="39.6" hidden="1">
      <c r="A21" s="120">
        <v>18</v>
      </c>
      <c r="B21" s="8" t="s">
        <v>10</v>
      </c>
      <c r="C21" s="9" t="s">
        <v>32</v>
      </c>
      <c r="D21" s="53" t="s">
        <v>9</v>
      </c>
      <c r="E21" s="53" t="s">
        <v>9</v>
      </c>
      <c r="F21" s="6"/>
      <c r="G21" s="86">
        <v>48937.9</v>
      </c>
      <c r="H21" s="62">
        <f>332.8</f>
        <v>332.8</v>
      </c>
      <c r="I21" s="66">
        <v>0</v>
      </c>
      <c r="J21" s="66"/>
      <c r="K21" s="101" t="e">
        <f>(#REF!+#REF!)/#REF!</f>
        <v>#REF!</v>
      </c>
      <c r="L21" s="71"/>
      <c r="M21" s="71"/>
      <c r="N21" s="21">
        <v>0</v>
      </c>
      <c r="O21" s="16"/>
      <c r="P21" s="26"/>
    </row>
    <row r="22" spans="1:16" ht="0.75" hidden="1" customHeight="1">
      <c r="A22" s="120">
        <v>19</v>
      </c>
      <c r="B22" s="10" t="s">
        <v>5</v>
      </c>
      <c r="C22" s="9" t="s">
        <v>32</v>
      </c>
      <c r="D22" s="54" t="s">
        <v>8</v>
      </c>
      <c r="E22" s="54" t="s">
        <v>8</v>
      </c>
      <c r="F22" s="6"/>
      <c r="G22" s="88">
        <v>31585.4</v>
      </c>
      <c r="H22" s="82">
        <f>7.2+2.4+1462.2+25029.72+350.42</f>
        <v>26851.94</v>
      </c>
      <c r="I22" s="67">
        <v>0.8</v>
      </c>
      <c r="J22" s="67"/>
      <c r="K22" s="101" t="e">
        <f>(#REF!+#REF!)/#REF!</f>
        <v>#REF!</v>
      </c>
      <c r="L22" s="50"/>
      <c r="M22" s="50"/>
      <c r="N22" s="22">
        <v>0.8</v>
      </c>
      <c r="O22" s="27"/>
      <c r="P22" s="26"/>
    </row>
    <row r="23" spans="1:16" ht="49.5" customHeight="1">
      <c r="A23" s="120">
        <v>6</v>
      </c>
      <c r="B23" s="45" t="s">
        <v>48</v>
      </c>
      <c r="C23" s="190" t="s">
        <v>24</v>
      </c>
      <c r="D23" s="189">
        <v>41095</v>
      </c>
      <c r="E23" s="190" t="s">
        <v>43</v>
      </c>
      <c r="F23" s="78"/>
      <c r="G23" s="212">
        <v>3517.7</v>
      </c>
      <c r="H23" s="187">
        <f>14.7+1000.92+624.84</f>
        <v>1640.46</v>
      </c>
      <c r="I23" s="212">
        <v>487.5</v>
      </c>
      <c r="J23" s="187"/>
      <c r="K23" s="202">
        <f>(H23+H24+J23+J24)/G23</f>
        <v>0.86142593171674675</v>
      </c>
      <c r="L23" s="80">
        <v>0.9</v>
      </c>
      <c r="M23" s="202" t="s">
        <v>128</v>
      </c>
      <c r="N23" s="204" t="s">
        <v>107</v>
      </c>
      <c r="O23" s="28"/>
      <c r="P23" s="30"/>
    </row>
    <row r="24" spans="1:16" ht="38.25" customHeight="1">
      <c r="A24" s="17">
        <v>7</v>
      </c>
      <c r="B24" s="45" t="s">
        <v>49</v>
      </c>
      <c r="C24" s="190" t="s">
        <v>24</v>
      </c>
      <c r="D24" s="189">
        <v>41095</v>
      </c>
      <c r="E24" s="190" t="s">
        <v>43</v>
      </c>
      <c r="F24" s="78"/>
      <c r="G24" s="213"/>
      <c r="H24" s="187">
        <f>12+830.098+547.68</f>
        <v>1389.7779999999998</v>
      </c>
      <c r="I24" s="213"/>
      <c r="J24" s="187"/>
      <c r="K24" s="214"/>
      <c r="L24" s="80">
        <v>0.9</v>
      </c>
      <c r="M24" s="215"/>
      <c r="N24" s="216"/>
      <c r="O24" s="28"/>
      <c r="P24" s="30"/>
    </row>
    <row r="25" spans="1:16" ht="76.5" customHeight="1">
      <c r="A25" s="17">
        <v>8</v>
      </c>
      <c r="B25" s="44" t="s">
        <v>101</v>
      </c>
      <c r="C25" s="97" t="s">
        <v>18</v>
      </c>
      <c r="D25" s="77" t="s">
        <v>74</v>
      </c>
      <c r="E25" s="78" t="s">
        <v>65</v>
      </c>
      <c r="F25" s="78"/>
      <c r="G25" s="14">
        <v>27549.200000000001</v>
      </c>
      <c r="H25" s="79">
        <f>24251.75</f>
        <v>24251.75</v>
      </c>
      <c r="I25" s="14">
        <v>3297.3</v>
      </c>
      <c r="J25" s="14"/>
      <c r="K25" s="186">
        <f t="shared" ref="K25:K35" si="1">(H25+J25)/G25</f>
        <v>0.8803068691649848</v>
      </c>
      <c r="L25" s="85">
        <v>0.95</v>
      </c>
      <c r="M25" s="13" t="s">
        <v>25</v>
      </c>
      <c r="N25" s="81" t="s">
        <v>50</v>
      </c>
      <c r="O25" s="28"/>
      <c r="P25" s="30"/>
    </row>
    <row r="26" spans="1:16" ht="117.75" customHeight="1">
      <c r="A26" s="120">
        <v>9</v>
      </c>
      <c r="B26" s="44" t="s">
        <v>85</v>
      </c>
      <c r="C26" s="97" t="s">
        <v>44</v>
      </c>
      <c r="D26" s="77" t="s">
        <v>75</v>
      </c>
      <c r="E26" s="78" t="s">
        <v>76</v>
      </c>
      <c r="F26" s="78"/>
      <c r="G26" s="14">
        <v>37331.1</v>
      </c>
      <c r="H26" s="79">
        <f>37246.4</f>
        <v>37246.400000000001</v>
      </c>
      <c r="I26" s="14">
        <v>84.7</v>
      </c>
      <c r="J26" s="14">
        <f>84.55</f>
        <v>84.55</v>
      </c>
      <c r="K26" s="186">
        <f t="shared" si="1"/>
        <v>0.99999598190248895</v>
      </c>
      <c r="L26" s="85">
        <v>1</v>
      </c>
      <c r="M26" s="13" t="s">
        <v>26</v>
      </c>
      <c r="N26" s="81"/>
      <c r="O26" s="28"/>
      <c r="P26" s="30"/>
    </row>
    <row r="27" spans="1:16" ht="117.75" customHeight="1">
      <c r="A27" s="120">
        <f>A26+1</f>
        <v>10</v>
      </c>
      <c r="B27" s="44" t="s">
        <v>86</v>
      </c>
      <c r="C27" s="97" t="s">
        <v>44</v>
      </c>
      <c r="D27" s="77" t="s">
        <v>75</v>
      </c>
      <c r="E27" s="78" t="s">
        <v>76</v>
      </c>
      <c r="F27" s="78"/>
      <c r="G27" s="14">
        <v>28332.9</v>
      </c>
      <c r="H27" s="79">
        <f>28310</f>
        <v>28310</v>
      </c>
      <c r="I27" s="14">
        <v>23</v>
      </c>
      <c r="J27" s="14">
        <f>22.88</f>
        <v>22.88</v>
      </c>
      <c r="K27" s="186">
        <f t="shared" si="1"/>
        <v>0.99999929410685107</v>
      </c>
      <c r="L27" s="85">
        <v>1</v>
      </c>
      <c r="M27" s="13" t="s">
        <v>26</v>
      </c>
      <c r="N27" s="81"/>
      <c r="O27" s="28"/>
      <c r="P27" s="30"/>
    </row>
    <row r="28" spans="1:16" ht="65.25" customHeight="1">
      <c r="A28" s="120">
        <v>11</v>
      </c>
      <c r="B28" s="133" t="s">
        <v>81</v>
      </c>
      <c r="C28" s="97" t="s">
        <v>82</v>
      </c>
      <c r="D28" s="77" t="s">
        <v>109</v>
      </c>
      <c r="E28" s="78" t="s">
        <v>76</v>
      </c>
      <c r="F28" s="78"/>
      <c r="G28" s="14">
        <v>3517.6</v>
      </c>
      <c r="H28" s="79">
        <f>3078.31</f>
        <v>3078.31</v>
      </c>
      <c r="I28" s="14">
        <v>439.3</v>
      </c>
      <c r="J28" s="14">
        <f>312.75</f>
        <v>312.75</v>
      </c>
      <c r="K28" s="186">
        <f t="shared" si="1"/>
        <v>0.96402660905162607</v>
      </c>
      <c r="L28" s="85">
        <v>1</v>
      </c>
      <c r="M28" s="13" t="s">
        <v>26</v>
      </c>
      <c r="N28" s="81"/>
      <c r="O28" s="28"/>
      <c r="P28" s="30"/>
    </row>
    <row r="29" spans="1:16" ht="43.5" customHeight="1">
      <c r="A29" s="120">
        <f>A28+1</f>
        <v>12</v>
      </c>
      <c r="B29" s="133" t="s">
        <v>103</v>
      </c>
      <c r="C29" s="97" t="s">
        <v>87</v>
      </c>
      <c r="D29" s="77" t="s">
        <v>110</v>
      </c>
      <c r="E29" s="78" t="s">
        <v>105</v>
      </c>
      <c r="F29" s="78"/>
      <c r="G29" s="14">
        <v>10549.4</v>
      </c>
      <c r="H29" s="79">
        <f>1193.56</f>
        <v>1193.56</v>
      </c>
      <c r="I29" s="14">
        <v>9355.7999999999993</v>
      </c>
      <c r="J29" s="14">
        <f>7423.56</f>
        <v>7423.56</v>
      </c>
      <c r="K29" s="186">
        <f t="shared" si="1"/>
        <v>0.81683508066809496</v>
      </c>
      <c r="L29" s="85">
        <v>0.9</v>
      </c>
      <c r="M29" s="13"/>
      <c r="N29" s="81"/>
      <c r="O29" s="28"/>
      <c r="P29" s="30"/>
    </row>
    <row r="30" spans="1:16" ht="51" customHeight="1">
      <c r="A30" s="120">
        <v>13</v>
      </c>
      <c r="B30" s="133" t="s">
        <v>104</v>
      </c>
      <c r="C30" s="97" t="s">
        <v>106</v>
      </c>
      <c r="D30" s="77" t="s">
        <v>110</v>
      </c>
      <c r="E30" s="78" t="s">
        <v>105</v>
      </c>
      <c r="F30" s="78"/>
      <c r="G30" s="14">
        <v>6951.2</v>
      </c>
      <c r="H30" s="79">
        <f>508.9</f>
        <v>508.9</v>
      </c>
      <c r="I30" s="14">
        <v>6442.3</v>
      </c>
      <c r="J30" s="14"/>
      <c r="K30" s="186">
        <f t="shared" si="1"/>
        <v>7.3210380941420183E-2</v>
      </c>
      <c r="L30" s="85">
        <v>0.05</v>
      </c>
      <c r="M30" s="13"/>
      <c r="N30" s="81" t="s">
        <v>135</v>
      </c>
      <c r="O30" s="28"/>
      <c r="P30" s="30"/>
    </row>
    <row r="31" spans="1:16" ht="291" customHeight="1">
      <c r="A31" s="120">
        <f>A30+1</f>
        <v>14</v>
      </c>
      <c r="B31" s="133" t="s">
        <v>84</v>
      </c>
      <c r="C31" s="97" t="s">
        <v>80</v>
      </c>
      <c r="D31" s="77" t="s">
        <v>79</v>
      </c>
      <c r="E31" s="78" t="s">
        <v>76</v>
      </c>
      <c r="F31" s="78"/>
      <c r="G31" s="14">
        <v>23461.7</v>
      </c>
      <c r="H31" s="79">
        <f>16397.5</f>
        <v>16397.5</v>
      </c>
      <c r="I31" s="14">
        <v>16490.900000000001</v>
      </c>
      <c r="J31" s="14">
        <f>1208.68</f>
        <v>1208.68</v>
      </c>
      <c r="K31" s="186">
        <f t="shared" si="1"/>
        <v>0.75042217742107353</v>
      </c>
      <c r="L31" s="85">
        <v>0.9</v>
      </c>
      <c r="M31" s="13"/>
      <c r="N31" s="81"/>
      <c r="O31" s="28"/>
      <c r="P31" s="30"/>
    </row>
    <row r="32" spans="1:16" ht="225" customHeight="1">
      <c r="A32" s="17">
        <v>15</v>
      </c>
      <c r="B32" s="133" t="s">
        <v>102</v>
      </c>
      <c r="C32" s="97" t="s">
        <v>44</v>
      </c>
      <c r="D32" s="77" t="s">
        <v>129</v>
      </c>
      <c r="E32" s="78" t="s">
        <v>76</v>
      </c>
      <c r="F32" s="78"/>
      <c r="G32" s="14">
        <v>37835</v>
      </c>
      <c r="H32" s="79">
        <f>16504.78</f>
        <v>16504.78</v>
      </c>
      <c r="I32" s="14">
        <v>7064.2</v>
      </c>
      <c r="J32" s="14">
        <f>5070.73</f>
        <v>5070.7299999999996</v>
      </c>
      <c r="K32" s="186">
        <f t="shared" si="1"/>
        <v>0.57025267609356411</v>
      </c>
      <c r="L32" s="85">
        <v>0.95</v>
      </c>
      <c r="M32" s="13"/>
      <c r="N32" s="81"/>
      <c r="O32" s="28"/>
      <c r="P32" s="30"/>
    </row>
    <row r="33" spans="1:16" ht="173.25" customHeight="1">
      <c r="A33" s="120">
        <v>16</v>
      </c>
      <c r="B33" s="133" t="s">
        <v>83</v>
      </c>
      <c r="C33" s="97" t="s">
        <v>87</v>
      </c>
      <c r="D33" s="77" t="s">
        <v>88</v>
      </c>
      <c r="E33" s="78" t="s">
        <v>76</v>
      </c>
      <c r="F33" s="78"/>
      <c r="G33" s="14">
        <v>64186</v>
      </c>
      <c r="H33" s="79">
        <f>43244.2</f>
        <v>43244.2</v>
      </c>
      <c r="I33" s="14">
        <v>20941.7</v>
      </c>
      <c r="J33" s="14">
        <f>9403.43+4239.28+5901.46</f>
        <v>19544.169999999998</v>
      </c>
      <c r="K33" s="186">
        <f t="shared" si="1"/>
        <v>0.97822531393138679</v>
      </c>
      <c r="L33" s="85">
        <v>0.98</v>
      </c>
      <c r="M33" s="13"/>
      <c r="N33" s="81"/>
      <c r="O33" s="28"/>
      <c r="P33" s="30"/>
    </row>
    <row r="34" spans="1:16" ht="153.75" customHeight="1">
      <c r="A34" s="120">
        <v>17</v>
      </c>
      <c r="B34" s="133" t="s">
        <v>89</v>
      </c>
      <c r="C34" s="97" t="s">
        <v>87</v>
      </c>
      <c r="D34" s="77" t="s">
        <v>88</v>
      </c>
      <c r="E34" s="78" t="s">
        <v>76</v>
      </c>
      <c r="F34" s="78"/>
      <c r="G34" s="14">
        <v>48371.6</v>
      </c>
      <c r="H34" s="79">
        <f>33052.1</f>
        <v>33052.1</v>
      </c>
      <c r="I34" s="14">
        <v>15319.5</v>
      </c>
      <c r="J34" s="14">
        <f>8056.2+797.16+4514.89</f>
        <v>13368.25</v>
      </c>
      <c r="K34" s="186">
        <f t="shared" si="1"/>
        <v>0.95966124750886883</v>
      </c>
      <c r="L34" s="85">
        <v>0.98</v>
      </c>
      <c r="M34" s="13"/>
      <c r="N34" s="81"/>
      <c r="O34" s="28"/>
      <c r="P34" s="30"/>
    </row>
    <row r="35" spans="1:16" ht="73.5" customHeight="1">
      <c r="A35" s="17">
        <f>A34+1</f>
        <v>18</v>
      </c>
      <c r="B35" s="44" t="s">
        <v>77</v>
      </c>
      <c r="C35" s="97" t="s">
        <v>80</v>
      </c>
      <c r="D35" s="77" t="s">
        <v>75</v>
      </c>
      <c r="E35" s="78" t="s">
        <v>78</v>
      </c>
      <c r="F35" s="78" t="s">
        <v>131</v>
      </c>
      <c r="G35" s="14">
        <v>9294.1</v>
      </c>
      <c r="H35" s="79"/>
      <c r="I35" s="14">
        <v>2.2999999999999998</v>
      </c>
      <c r="J35" s="14">
        <f>526.8+4967.9+3099.24+43.39+631.34+2.6+20.4</f>
        <v>9291.6699999999983</v>
      </c>
      <c r="K35" s="186">
        <f t="shared" si="1"/>
        <v>0.99973854380736138</v>
      </c>
      <c r="L35" s="85">
        <v>1</v>
      </c>
      <c r="M35" s="13" t="s">
        <v>26</v>
      </c>
      <c r="N35" s="81"/>
      <c r="O35" s="28"/>
      <c r="P35" s="30"/>
    </row>
    <row r="36" spans="1:16" ht="35.25" customHeight="1">
      <c r="A36" s="160"/>
      <c r="B36" s="161" t="s">
        <v>92</v>
      </c>
      <c r="C36" s="162"/>
      <c r="D36" s="163"/>
      <c r="E36" s="163"/>
      <c r="F36" s="163"/>
      <c r="G36" s="164"/>
      <c r="H36" s="165"/>
      <c r="I36" s="164"/>
      <c r="J36" s="164"/>
      <c r="K36" s="166"/>
      <c r="L36" s="167"/>
      <c r="M36" s="167"/>
      <c r="N36" s="81"/>
      <c r="O36" s="139"/>
      <c r="P36" s="30"/>
    </row>
    <row r="37" spans="1:16" ht="35.25" customHeight="1">
      <c r="A37" s="120">
        <v>19</v>
      </c>
      <c r="B37" s="133" t="s">
        <v>93</v>
      </c>
      <c r="C37" s="206" t="s">
        <v>40</v>
      </c>
      <c r="D37" s="208" t="s">
        <v>98</v>
      </c>
      <c r="E37" s="210" t="s">
        <v>65</v>
      </c>
      <c r="F37" s="78"/>
      <c r="G37" s="212">
        <v>5168.1000000000004</v>
      </c>
      <c r="H37" s="79">
        <f>52.6</f>
        <v>52.6</v>
      </c>
      <c r="I37" s="212">
        <v>5115.5</v>
      </c>
      <c r="J37" s="14"/>
      <c r="K37" s="186"/>
      <c r="L37" s="85">
        <v>1</v>
      </c>
      <c r="M37" s="13" t="s">
        <v>26</v>
      </c>
      <c r="N37" s="76" t="s">
        <v>50</v>
      </c>
      <c r="O37" s="28" t="s">
        <v>133</v>
      </c>
      <c r="P37" s="30"/>
    </row>
    <row r="38" spans="1:16" ht="35.25" customHeight="1">
      <c r="A38" s="120">
        <f>A37+1</f>
        <v>20</v>
      </c>
      <c r="B38" s="133" t="s">
        <v>94</v>
      </c>
      <c r="C38" s="207"/>
      <c r="D38" s="209"/>
      <c r="E38" s="211"/>
      <c r="F38" s="78"/>
      <c r="G38" s="213"/>
      <c r="H38" s="79"/>
      <c r="I38" s="213"/>
      <c r="J38" s="14"/>
      <c r="K38" s="186"/>
      <c r="L38" s="186"/>
      <c r="M38" s="13" t="s">
        <v>25</v>
      </c>
      <c r="N38" s="81" t="s">
        <v>130</v>
      </c>
      <c r="O38" s="28" t="s">
        <v>133</v>
      </c>
      <c r="P38" s="30"/>
    </row>
    <row r="39" spans="1:16" ht="36.75" customHeight="1">
      <c r="A39" s="120">
        <f t="shared" ref="A39:A47" si="2">A38+1</f>
        <v>21</v>
      </c>
      <c r="B39" s="133" t="s">
        <v>95</v>
      </c>
      <c r="C39" s="97" t="s">
        <v>99</v>
      </c>
      <c r="D39" s="77" t="s">
        <v>108</v>
      </c>
      <c r="E39" s="78" t="s">
        <v>76</v>
      </c>
      <c r="F39" s="78"/>
      <c r="G39" s="14">
        <v>3088.5</v>
      </c>
      <c r="H39" s="79">
        <f>563.95</f>
        <v>563.95000000000005</v>
      </c>
      <c r="I39" s="14">
        <v>2524.5</v>
      </c>
      <c r="J39" s="14">
        <f>1685.39</f>
        <v>1685.39</v>
      </c>
      <c r="K39" s="186">
        <f t="shared" ref="K39:K43" si="3">(H39+J39)/G39</f>
        <v>0.72829528897523077</v>
      </c>
      <c r="L39" s="85">
        <v>1</v>
      </c>
      <c r="M39" s="13" t="s">
        <v>26</v>
      </c>
      <c r="N39" s="81"/>
      <c r="O39" s="28"/>
      <c r="P39" s="30"/>
    </row>
    <row r="40" spans="1:16" ht="54.75" customHeight="1">
      <c r="A40" s="120">
        <f t="shared" si="2"/>
        <v>22</v>
      </c>
      <c r="B40" s="133" t="s">
        <v>111</v>
      </c>
      <c r="C40" s="188" t="s">
        <v>114</v>
      </c>
      <c r="D40" s="189" t="s">
        <v>112</v>
      </c>
      <c r="E40" s="190" t="s">
        <v>113</v>
      </c>
      <c r="F40" s="78"/>
      <c r="G40" s="187">
        <v>3959.2</v>
      </c>
      <c r="H40" s="79">
        <f>564.93</f>
        <v>564.92999999999995</v>
      </c>
      <c r="I40" s="187">
        <v>3394.4</v>
      </c>
      <c r="J40" s="14"/>
      <c r="K40" s="186">
        <f t="shared" si="3"/>
        <v>0.14268791675085876</v>
      </c>
      <c r="L40" s="85">
        <v>0</v>
      </c>
      <c r="M40" s="13"/>
      <c r="N40" s="81" t="s">
        <v>149</v>
      </c>
      <c r="O40" s="28"/>
      <c r="P40" s="30"/>
    </row>
    <row r="41" spans="1:16" ht="39" customHeight="1">
      <c r="A41" s="120">
        <f t="shared" si="2"/>
        <v>23</v>
      </c>
      <c r="B41" s="133" t="s">
        <v>115</v>
      </c>
      <c r="C41" s="188" t="s">
        <v>97</v>
      </c>
      <c r="D41" s="189" t="s">
        <v>116</v>
      </c>
      <c r="E41" s="190" t="s">
        <v>119</v>
      </c>
      <c r="F41" s="78"/>
      <c r="G41" s="187">
        <v>12378.1</v>
      </c>
      <c r="H41" s="79">
        <f>835.33</f>
        <v>835.33</v>
      </c>
      <c r="I41" s="187">
        <v>11542.8</v>
      </c>
      <c r="J41" s="14">
        <f>10206.15</f>
        <v>10206.15</v>
      </c>
      <c r="K41" s="186">
        <f t="shared" si="3"/>
        <v>0.89201735322868614</v>
      </c>
      <c r="L41" s="85">
        <v>1</v>
      </c>
      <c r="M41" s="13" t="s">
        <v>26</v>
      </c>
      <c r="N41" s="81"/>
      <c r="O41" s="28"/>
      <c r="P41" s="30"/>
    </row>
    <row r="42" spans="1:16" ht="39" customHeight="1">
      <c r="A42" s="120">
        <f t="shared" si="2"/>
        <v>24</v>
      </c>
      <c r="B42" s="133" t="s">
        <v>117</v>
      </c>
      <c r="C42" s="188" t="s">
        <v>80</v>
      </c>
      <c r="D42" s="189" t="s">
        <v>69</v>
      </c>
      <c r="E42" s="190" t="s">
        <v>119</v>
      </c>
      <c r="F42" s="78"/>
      <c r="G42" s="187">
        <v>31482.1</v>
      </c>
      <c r="H42" s="79">
        <f>3739.02</f>
        <v>3739.02</v>
      </c>
      <c r="I42" s="187">
        <v>27743.1</v>
      </c>
      <c r="J42" s="14">
        <f>4967.9</f>
        <v>4967.8999999999996</v>
      </c>
      <c r="K42" s="186">
        <f t="shared" si="3"/>
        <v>0.27656731920678734</v>
      </c>
      <c r="L42" s="85">
        <v>0.7</v>
      </c>
      <c r="M42" s="13"/>
      <c r="N42" s="81"/>
      <c r="O42" s="28"/>
      <c r="P42" s="30"/>
    </row>
    <row r="43" spans="1:16" ht="131.4" customHeight="1">
      <c r="A43" s="120">
        <f t="shared" si="2"/>
        <v>25</v>
      </c>
      <c r="B43" s="133" t="s">
        <v>118</v>
      </c>
      <c r="C43" s="188" t="s">
        <v>97</v>
      </c>
      <c r="D43" s="189" t="s">
        <v>110</v>
      </c>
      <c r="E43" s="190" t="s">
        <v>119</v>
      </c>
      <c r="F43" s="78"/>
      <c r="G43" s="187">
        <v>29221.8</v>
      </c>
      <c r="H43" s="79">
        <f>4268.64</f>
        <v>4268.6400000000003</v>
      </c>
      <c r="I43" s="187">
        <v>24953.200000000001</v>
      </c>
      <c r="J43" s="14"/>
      <c r="K43" s="186">
        <f t="shared" si="3"/>
        <v>0.14607724370162004</v>
      </c>
      <c r="L43" s="85">
        <v>0</v>
      </c>
      <c r="M43" s="13" t="s">
        <v>128</v>
      </c>
      <c r="N43" s="81" t="s">
        <v>136</v>
      </c>
      <c r="O43" s="28"/>
      <c r="P43" s="30"/>
    </row>
    <row r="44" spans="1:16" ht="33.6" customHeight="1">
      <c r="A44" s="120">
        <f>A43+1</f>
        <v>26</v>
      </c>
      <c r="B44" s="133" t="s">
        <v>122</v>
      </c>
      <c r="C44" s="206" t="s">
        <v>100</v>
      </c>
      <c r="D44" s="208" t="s">
        <v>120</v>
      </c>
      <c r="E44" s="210" t="s">
        <v>121</v>
      </c>
      <c r="F44" s="78"/>
      <c r="G44" s="212">
        <v>17531.5</v>
      </c>
      <c r="H44" s="79">
        <f>3830.78</f>
        <v>3830.78</v>
      </c>
      <c r="I44" s="212">
        <v>7779.5</v>
      </c>
      <c r="J44" s="14"/>
      <c r="K44" s="222">
        <f>(J44+J45+H44+H45)/G44</f>
        <v>0.55625474146536236</v>
      </c>
      <c r="L44" s="85">
        <v>0.98</v>
      </c>
      <c r="M44" s="202"/>
      <c r="N44" s="81"/>
      <c r="O44" s="28"/>
      <c r="P44" s="30"/>
    </row>
    <row r="45" spans="1:16" ht="34.5" customHeight="1">
      <c r="A45" s="120">
        <f t="shared" si="2"/>
        <v>27</v>
      </c>
      <c r="B45" s="133" t="s">
        <v>96</v>
      </c>
      <c r="C45" s="205"/>
      <c r="D45" s="205"/>
      <c r="E45" s="205"/>
      <c r="F45" s="78"/>
      <c r="G45" s="205"/>
      <c r="H45" s="79">
        <f>5921.2</f>
        <v>5921.2</v>
      </c>
      <c r="I45" s="205"/>
      <c r="J45" s="14"/>
      <c r="K45" s="223"/>
      <c r="L45" s="85">
        <v>0.98</v>
      </c>
      <c r="M45" s="215"/>
      <c r="N45" s="81"/>
      <c r="O45" s="28"/>
      <c r="P45" s="30"/>
    </row>
    <row r="46" spans="1:16" ht="33" customHeight="1">
      <c r="A46" s="120">
        <f t="shared" si="2"/>
        <v>28</v>
      </c>
      <c r="B46" s="133" t="s">
        <v>125</v>
      </c>
      <c r="C46" s="188" t="s">
        <v>123</v>
      </c>
      <c r="D46" s="189" t="s">
        <v>110</v>
      </c>
      <c r="E46" s="190" t="s">
        <v>124</v>
      </c>
      <c r="F46" s="78"/>
      <c r="G46" s="187">
        <v>3007</v>
      </c>
      <c r="H46" s="79">
        <f>174.4</f>
        <v>174.4</v>
      </c>
      <c r="I46" s="187">
        <v>2832.6</v>
      </c>
      <c r="J46" s="14">
        <f>95.16</f>
        <v>95.16</v>
      </c>
      <c r="K46" s="186">
        <f>(H46+J46)/G46</f>
        <v>8.9644163618224137E-2</v>
      </c>
      <c r="L46" s="85">
        <v>0.5</v>
      </c>
      <c r="M46" s="13"/>
      <c r="N46" s="81"/>
      <c r="O46" s="28"/>
      <c r="P46" s="30"/>
    </row>
    <row r="47" spans="1:16" ht="34.5" customHeight="1">
      <c r="A47" s="120">
        <f t="shared" si="2"/>
        <v>29</v>
      </c>
      <c r="B47" s="133" t="s">
        <v>126</v>
      </c>
      <c r="C47" s="188" t="s">
        <v>123</v>
      </c>
      <c r="D47" s="189" t="s">
        <v>110</v>
      </c>
      <c r="E47" s="190" t="s">
        <v>124</v>
      </c>
      <c r="F47" s="78"/>
      <c r="G47" s="187">
        <v>4086.1</v>
      </c>
      <c r="H47" s="79">
        <f>1365</f>
        <v>1365</v>
      </c>
      <c r="I47" s="187">
        <v>2721.1</v>
      </c>
      <c r="J47" s="14"/>
      <c r="K47" s="186">
        <f>(H47+J47)/G47</f>
        <v>0.33405937201732705</v>
      </c>
      <c r="L47" s="85">
        <v>0</v>
      </c>
      <c r="M47" s="13"/>
      <c r="N47" s="81" t="s">
        <v>150</v>
      </c>
      <c r="O47" s="28"/>
      <c r="P47" s="30"/>
    </row>
    <row r="48" spans="1:16" ht="39" customHeight="1">
      <c r="A48" s="134"/>
      <c r="B48" s="119" t="s">
        <v>53</v>
      </c>
      <c r="C48" s="91"/>
      <c r="D48" s="91"/>
      <c r="E48" s="91"/>
      <c r="F48" s="92"/>
      <c r="G48" s="93"/>
      <c r="H48" s="92"/>
      <c r="I48" s="94"/>
      <c r="J48" s="92"/>
      <c r="K48" s="92"/>
      <c r="L48" s="95"/>
      <c r="M48" s="95"/>
      <c r="N48" s="91"/>
      <c r="O48" s="28"/>
      <c r="P48" s="30"/>
    </row>
    <row r="49" spans="1:16" ht="74.25" customHeight="1">
      <c r="A49" s="127">
        <v>30</v>
      </c>
      <c r="B49" s="96" t="s">
        <v>137</v>
      </c>
      <c r="C49" s="97" t="s">
        <v>16</v>
      </c>
      <c r="D49" s="77" t="s">
        <v>138</v>
      </c>
      <c r="E49" s="97" t="s">
        <v>139</v>
      </c>
      <c r="F49" s="79"/>
      <c r="G49" s="14">
        <v>7562.8</v>
      </c>
      <c r="H49" s="79">
        <f>52.8+499.98+7</f>
        <v>559.78</v>
      </c>
      <c r="I49" s="14">
        <v>7003</v>
      </c>
      <c r="J49" s="79">
        <f>385.59</f>
        <v>385.59</v>
      </c>
      <c r="K49" s="85">
        <f>(H49+J49)/G49</f>
        <v>0.12500264452319246</v>
      </c>
      <c r="L49" s="85">
        <v>0.5</v>
      </c>
      <c r="M49" s="154"/>
      <c r="N49" s="154"/>
      <c r="O49" s="28"/>
      <c r="P49" s="30"/>
    </row>
    <row r="50" spans="1:16" ht="133.5" customHeight="1">
      <c r="A50" s="127">
        <v>31</v>
      </c>
      <c r="B50" s="96" t="s">
        <v>71</v>
      </c>
      <c r="C50" s="97" t="s">
        <v>29</v>
      </c>
      <c r="D50" s="77" t="s">
        <v>72</v>
      </c>
      <c r="E50" s="97" t="s">
        <v>52</v>
      </c>
      <c r="F50" s="79"/>
      <c r="G50" s="14">
        <v>2051.3000000000002</v>
      </c>
      <c r="H50" s="79"/>
      <c r="I50" s="14">
        <v>2051.3000000000002</v>
      </c>
      <c r="J50" s="79">
        <v>0</v>
      </c>
      <c r="K50" s="85">
        <f>(H50+J50)/G50</f>
        <v>0</v>
      </c>
      <c r="L50" s="85">
        <v>0</v>
      </c>
      <c r="M50" s="98"/>
      <c r="N50" s="155" t="s">
        <v>145</v>
      </c>
      <c r="O50" s="28"/>
      <c r="P50" s="30"/>
    </row>
    <row r="51" spans="1:16" ht="36.75" customHeight="1">
      <c r="A51" s="127">
        <v>32</v>
      </c>
      <c r="B51" s="96" t="s">
        <v>140</v>
      </c>
      <c r="C51" s="97"/>
      <c r="D51" s="77" t="s">
        <v>141</v>
      </c>
      <c r="E51" s="97" t="s">
        <v>139</v>
      </c>
      <c r="F51" s="79"/>
      <c r="G51" s="14">
        <v>22722.2</v>
      </c>
      <c r="H51" s="153">
        <f>254.4+11993.04+167.9+3504.45+35.23</f>
        <v>15955.02</v>
      </c>
      <c r="I51" s="14">
        <v>6767.1</v>
      </c>
      <c r="J51" s="153">
        <f>466.13</f>
        <v>466.13</v>
      </c>
      <c r="K51" s="85">
        <f>(H51+J51)/G51</f>
        <v>0.72269190483315882</v>
      </c>
      <c r="L51" s="85">
        <v>0.9</v>
      </c>
      <c r="M51" s="154"/>
      <c r="N51" s="154"/>
      <c r="O51" s="28"/>
      <c r="P51" s="30"/>
    </row>
    <row r="52" spans="1:16" ht="33.75" customHeight="1">
      <c r="A52" s="127">
        <v>33</v>
      </c>
      <c r="B52" s="157" t="s">
        <v>54</v>
      </c>
      <c r="C52" s="97" t="s">
        <v>55</v>
      </c>
      <c r="D52" s="77" t="s">
        <v>56</v>
      </c>
      <c r="E52" s="97" t="s">
        <v>52</v>
      </c>
      <c r="F52" s="79"/>
      <c r="G52" s="14">
        <v>1908.01</v>
      </c>
      <c r="H52" s="79"/>
      <c r="I52" s="14">
        <v>1908.01</v>
      </c>
      <c r="J52" s="79">
        <v>0</v>
      </c>
      <c r="K52" s="85">
        <f>(H52+J52)/G52</f>
        <v>0</v>
      </c>
      <c r="L52" s="85">
        <v>0</v>
      </c>
      <c r="M52" s="158" t="s">
        <v>25</v>
      </c>
      <c r="N52" s="156" t="s">
        <v>57</v>
      </c>
      <c r="O52" s="28"/>
      <c r="P52" s="30"/>
    </row>
    <row r="53" spans="1:16" ht="39" customHeight="1">
      <c r="A53" s="127">
        <v>34</v>
      </c>
      <c r="B53" s="96" t="s">
        <v>142</v>
      </c>
      <c r="C53" s="97" t="s">
        <v>143</v>
      </c>
      <c r="D53" s="77" t="s">
        <v>144</v>
      </c>
      <c r="E53" s="97" t="s">
        <v>139</v>
      </c>
      <c r="F53" s="79"/>
      <c r="G53" s="14">
        <v>28941.8</v>
      </c>
      <c r="H53" s="79">
        <f>15396.91+206.69</f>
        <v>15603.6</v>
      </c>
      <c r="I53" s="14">
        <v>13338.2</v>
      </c>
      <c r="J53" s="79">
        <v>0</v>
      </c>
      <c r="K53" s="85">
        <f>(H53+J53)/G53</f>
        <v>0.5391371649309995</v>
      </c>
      <c r="L53" s="85">
        <v>0.7</v>
      </c>
      <c r="M53" s="154"/>
      <c r="N53" s="154"/>
      <c r="O53" s="28"/>
      <c r="P53" s="30"/>
    </row>
    <row r="54" spans="1:16" ht="8.25" customHeight="1">
      <c r="A54" s="135"/>
      <c r="B54" s="136"/>
      <c r="C54" s="38"/>
      <c r="D54" s="37"/>
      <c r="E54" s="38"/>
      <c r="F54" s="40"/>
      <c r="G54" s="39"/>
      <c r="H54" s="40"/>
      <c r="I54" s="39"/>
      <c r="J54" s="40"/>
      <c r="K54" s="36"/>
      <c r="L54" s="36"/>
      <c r="M54" s="31"/>
      <c r="N54" s="137"/>
      <c r="O54" s="28"/>
      <c r="P54" s="30"/>
    </row>
    <row r="55" spans="1:16" ht="6.75" customHeight="1">
      <c r="A55" s="135"/>
      <c r="B55" s="136"/>
      <c r="C55" s="38"/>
      <c r="D55" s="37"/>
      <c r="E55" s="38"/>
      <c r="F55" s="40"/>
      <c r="G55" s="39"/>
      <c r="H55" s="40"/>
      <c r="I55" s="39"/>
      <c r="J55" s="40"/>
      <c r="K55" s="36"/>
      <c r="L55" s="36"/>
      <c r="M55" s="31"/>
      <c r="N55" s="137"/>
      <c r="O55" s="28"/>
      <c r="P55" s="30"/>
    </row>
    <row r="56" spans="1:16" ht="6.75" customHeight="1">
      <c r="A56" s="135"/>
      <c r="B56" s="136"/>
      <c r="C56" s="38"/>
      <c r="D56" s="37"/>
      <c r="E56" s="38"/>
      <c r="F56" s="40"/>
      <c r="G56" s="39"/>
      <c r="H56" s="40"/>
      <c r="I56" s="39"/>
      <c r="J56" s="40"/>
      <c r="K56" s="36"/>
      <c r="L56" s="36"/>
      <c r="M56" s="31"/>
      <c r="N56" s="137"/>
      <c r="O56" s="28"/>
      <c r="P56" s="30"/>
    </row>
    <row r="57" spans="1:16" ht="17.399999999999999">
      <c r="B57" s="219" t="s">
        <v>59</v>
      </c>
      <c r="C57" s="220"/>
      <c r="D57" s="220"/>
      <c r="E57" s="220"/>
      <c r="F57" s="29"/>
      <c r="G57" s="39"/>
      <c r="H57" s="34"/>
      <c r="I57" s="39"/>
      <c r="J57" s="39"/>
      <c r="K57" s="35"/>
      <c r="L57" s="35"/>
      <c r="M57" s="35"/>
      <c r="N57" s="36"/>
      <c r="O57" s="28"/>
      <c r="P57" s="30"/>
    </row>
    <row r="58" spans="1:16">
      <c r="B58" s="33"/>
      <c r="C58" s="73"/>
      <c r="D58" s="29"/>
      <c r="E58" s="29"/>
      <c r="F58" s="29"/>
      <c r="G58" s="39"/>
      <c r="H58" s="34"/>
      <c r="I58" s="39"/>
      <c r="J58" s="39"/>
      <c r="K58" s="35"/>
      <c r="L58" s="35"/>
      <c r="M58" s="35"/>
      <c r="N58" s="36"/>
      <c r="O58" s="28"/>
      <c r="P58" s="30"/>
    </row>
    <row r="59" spans="1:16" ht="17.399999999999999">
      <c r="B59" s="219" t="s">
        <v>146</v>
      </c>
      <c r="C59" s="220"/>
      <c r="D59" s="220"/>
      <c r="E59" s="220"/>
      <c r="F59" s="29"/>
      <c r="G59" s="39"/>
      <c r="H59" s="34"/>
      <c r="I59" s="39"/>
      <c r="J59" s="39"/>
      <c r="K59" s="35"/>
      <c r="L59" s="35"/>
      <c r="M59" s="35"/>
      <c r="N59" s="36"/>
      <c r="O59" s="28"/>
      <c r="P59" s="30"/>
    </row>
    <row r="60" spans="1:16">
      <c r="B60" s="33"/>
      <c r="C60" s="73"/>
      <c r="D60" s="29"/>
      <c r="E60" s="29"/>
      <c r="F60" s="29"/>
      <c r="G60" s="39"/>
      <c r="H60" s="34"/>
      <c r="I60" s="39"/>
      <c r="J60" s="39"/>
      <c r="K60" s="35"/>
      <c r="L60" s="35"/>
      <c r="M60" s="35"/>
      <c r="N60" s="36"/>
      <c r="O60" s="28"/>
      <c r="P60" s="30"/>
    </row>
    <row r="61" spans="1:16" ht="32.25" customHeight="1">
      <c r="A61" s="103"/>
      <c r="B61" s="217" t="s">
        <v>60</v>
      </c>
      <c r="C61" s="221"/>
      <c r="D61" s="221"/>
      <c r="E61" s="221"/>
      <c r="F61" s="138">
        <v>34</v>
      </c>
      <c r="G61" s="39"/>
      <c r="H61" s="34"/>
      <c r="I61" s="39"/>
      <c r="J61" s="39"/>
      <c r="K61" s="35"/>
      <c r="L61" s="35"/>
      <c r="M61" s="35"/>
      <c r="N61" s="36"/>
      <c r="O61" s="28"/>
      <c r="P61" s="30"/>
    </row>
    <row r="62" spans="1:16" ht="18" customHeight="1">
      <c r="A62" s="103"/>
      <c r="B62" s="217" t="s">
        <v>58</v>
      </c>
      <c r="C62" s="221"/>
      <c r="D62" s="221"/>
      <c r="E62" s="221"/>
      <c r="F62" s="138">
        <v>0</v>
      </c>
      <c r="G62" s="39"/>
      <c r="H62" s="34"/>
      <c r="I62" s="39"/>
      <c r="J62" s="39"/>
      <c r="K62" s="35"/>
      <c r="L62" s="35"/>
      <c r="M62" s="35"/>
      <c r="N62" s="36"/>
      <c r="O62" s="28"/>
      <c r="P62" s="30"/>
    </row>
    <row r="63" spans="1:16" ht="30" customHeight="1">
      <c r="A63" s="103"/>
      <c r="B63" s="217" t="s">
        <v>61</v>
      </c>
      <c r="C63" s="218"/>
      <c r="D63" s="218"/>
      <c r="E63" s="218"/>
      <c r="F63" s="138">
        <v>7</v>
      </c>
      <c r="G63" s="39"/>
      <c r="H63" s="34"/>
      <c r="I63" s="39"/>
      <c r="J63" s="39"/>
      <c r="K63" s="35"/>
      <c r="L63" s="35"/>
      <c r="M63" s="35"/>
      <c r="N63" s="36"/>
      <c r="O63" s="28"/>
      <c r="P63" s="30"/>
    </row>
    <row r="64" spans="1:16" ht="30.75" customHeight="1">
      <c r="A64" s="159"/>
      <c r="B64" s="217" t="s">
        <v>62</v>
      </c>
      <c r="C64" s="218"/>
      <c r="D64" s="218"/>
      <c r="E64" s="218"/>
      <c r="F64" s="138">
        <v>2</v>
      </c>
      <c r="G64" s="39"/>
      <c r="H64" s="34"/>
      <c r="I64" s="39"/>
      <c r="J64" s="39"/>
      <c r="K64" s="35"/>
      <c r="L64" s="35"/>
      <c r="M64" s="35"/>
      <c r="N64" s="36"/>
      <c r="O64" s="28"/>
      <c r="P64" s="30"/>
    </row>
    <row r="65" spans="1:17" ht="19.5" customHeight="1">
      <c r="A65" s="103"/>
      <c r="B65" s="217" t="s">
        <v>63</v>
      </c>
      <c r="C65" s="218"/>
      <c r="D65" s="218"/>
      <c r="E65" s="218"/>
      <c r="F65" s="138">
        <v>7</v>
      </c>
      <c r="G65" s="39"/>
      <c r="H65" s="34"/>
      <c r="I65" s="39"/>
      <c r="J65" s="39"/>
      <c r="K65" s="35"/>
      <c r="L65" s="35"/>
      <c r="M65" s="35"/>
      <c r="N65" s="36"/>
      <c r="O65" s="28"/>
      <c r="P65" s="30"/>
    </row>
    <row r="66" spans="1:17" ht="1.5" customHeight="1">
      <c r="B66" s="226"/>
      <c r="C66" s="226"/>
      <c r="D66" s="226"/>
      <c r="E66" s="226"/>
      <c r="F66" s="226"/>
      <c r="G66" s="226"/>
      <c r="H66" s="226"/>
      <c r="I66" s="226"/>
      <c r="J66" s="226"/>
      <c r="K66" s="226"/>
      <c r="L66" s="226"/>
      <c r="M66" s="226"/>
      <c r="N66" s="226"/>
      <c r="O66" s="226"/>
      <c r="P66" s="226"/>
    </row>
    <row r="67" spans="1:17" ht="43.5" hidden="1" customHeight="1">
      <c r="B67" s="41"/>
      <c r="C67" s="74"/>
      <c r="D67" s="55"/>
      <c r="E67" s="55"/>
      <c r="F67" s="15"/>
      <c r="G67" s="89"/>
      <c r="H67" s="56"/>
      <c r="I67" s="68"/>
      <c r="J67" s="68"/>
      <c r="K67" s="83"/>
      <c r="L67" s="83"/>
      <c r="M67" s="83"/>
      <c r="N67" s="16"/>
      <c r="O67" s="16"/>
      <c r="P67" s="103"/>
    </row>
    <row r="68" spans="1:17" ht="39.75" hidden="1" customHeight="1">
      <c r="B68" s="227"/>
      <c r="C68" s="228"/>
      <c r="D68" s="228"/>
      <c r="E68" s="60"/>
      <c r="F68" s="42"/>
      <c r="G68" s="89"/>
      <c r="H68" s="56"/>
      <c r="I68" s="68"/>
      <c r="J68" s="68"/>
      <c r="K68" s="83"/>
      <c r="L68" s="83"/>
      <c r="M68" s="83"/>
      <c r="N68" s="16"/>
      <c r="O68" s="16"/>
      <c r="P68" s="103"/>
    </row>
    <row r="69" spans="1:17" s="19" customFormat="1" ht="36" customHeight="1">
      <c r="B69" s="229" t="s">
        <v>41</v>
      </c>
      <c r="C69" s="230"/>
      <c r="D69" s="230"/>
      <c r="E69" s="230"/>
      <c r="F69" s="230"/>
      <c r="G69" s="230"/>
      <c r="H69" s="58"/>
      <c r="I69" s="70"/>
      <c r="J69" s="70"/>
      <c r="K69" s="58"/>
      <c r="L69" s="58"/>
      <c r="M69" s="19" t="s">
        <v>42</v>
      </c>
    </row>
    <row r="70" spans="1:17" s="19" customFormat="1" ht="18.75" customHeight="1">
      <c r="B70" s="182"/>
      <c r="C70" s="183"/>
      <c r="D70" s="183"/>
      <c r="E70" s="183"/>
      <c r="F70" s="183"/>
      <c r="G70" s="183"/>
      <c r="H70" s="58"/>
      <c r="I70" s="70"/>
      <c r="J70" s="70"/>
      <c r="K70" s="58"/>
      <c r="L70" s="58"/>
    </row>
    <row r="71" spans="1:17" ht="17.25" customHeight="1">
      <c r="B71" s="181" t="s">
        <v>27</v>
      </c>
      <c r="C71" s="181"/>
      <c r="D71" s="99"/>
      <c r="E71" s="56"/>
      <c r="F71" s="42"/>
      <c r="G71" s="89"/>
      <c r="H71" s="56"/>
      <c r="I71" s="68"/>
      <c r="J71" s="68"/>
      <c r="K71" s="83"/>
      <c r="L71" s="83"/>
      <c r="M71" s="83"/>
      <c r="N71" s="16"/>
      <c r="O71" s="16"/>
      <c r="P71" s="103"/>
    </row>
    <row r="72" spans="1:17" s="17" customFormat="1" ht="63" hidden="1" customHeight="1">
      <c r="A72" s="103"/>
      <c r="B72" s="181" t="s">
        <v>28</v>
      </c>
      <c r="C72" s="181"/>
      <c r="D72" s="99"/>
      <c r="E72" s="56"/>
      <c r="F72" s="43"/>
      <c r="G72" s="90"/>
      <c r="H72" s="56"/>
      <c r="I72" s="68"/>
      <c r="J72" s="68"/>
      <c r="K72" s="83"/>
      <c r="L72" s="83"/>
      <c r="M72" s="83"/>
      <c r="N72" s="16"/>
      <c r="O72" s="16"/>
      <c r="P72" s="103"/>
      <c r="Q72" s="23"/>
    </row>
    <row r="73" spans="1:17" s="17" customFormat="1" ht="75.75" hidden="1" customHeight="1">
      <c r="A73" s="103"/>
      <c r="B73" s="84"/>
      <c r="C73" s="84"/>
      <c r="D73" s="100"/>
      <c r="E73" s="61"/>
      <c r="F73" s="43"/>
      <c r="G73" s="90"/>
      <c r="H73" s="56"/>
      <c r="I73" s="68"/>
      <c r="J73" s="68"/>
      <c r="K73" s="83"/>
      <c r="L73" s="83"/>
      <c r="M73" s="83"/>
      <c r="N73" s="16"/>
      <c r="O73" s="16"/>
      <c r="P73" s="103"/>
      <c r="Q73" s="23"/>
    </row>
    <row r="74" spans="1:17" s="17" customFormat="1" ht="62.25" hidden="1" customHeight="1">
      <c r="A74" s="103"/>
      <c r="B74" s="84"/>
      <c r="C74" s="84"/>
      <c r="D74" s="100"/>
      <c r="E74" s="61"/>
      <c r="F74" s="43"/>
      <c r="G74" s="90"/>
      <c r="H74" s="56"/>
      <c r="I74" s="68"/>
      <c r="J74" s="68"/>
      <c r="K74" s="83"/>
      <c r="L74" s="83"/>
      <c r="M74" s="83"/>
      <c r="N74" s="16"/>
      <c r="O74" s="16"/>
      <c r="P74" s="103"/>
      <c r="Q74" s="23"/>
    </row>
    <row r="75" spans="1:17" s="17" customFormat="1" ht="46.5" hidden="1" customHeight="1">
      <c r="A75" s="103"/>
      <c r="B75" s="84"/>
      <c r="C75" s="84"/>
      <c r="D75" s="100"/>
      <c r="E75" s="61"/>
      <c r="F75" s="43"/>
      <c r="G75" s="90"/>
      <c r="H75" s="56"/>
      <c r="I75" s="68"/>
      <c r="J75" s="68"/>
      <c r="K75" s="83"/>
      <c r="L75" s="83"/>
      <c r="M75" s="83"/>
      <c r="N75" s="16"/>
      <c r="O75" s="16"/>
      <c r="P75" s="103"/>
      <c r="Q75" s="23"/>
    </row>
    <row r="76" spans="1:17" ht="13.5" customHeight="1">
      <c r="B76" s="224" t="s">
        <v>64</v>
      </c>
      <c r="C76" s="225"/>
      <c r="D76" s="225"/>
      <c r="E76" s="60"/>
      <c r="F76" s="42"/>
      <c r="G76" s="89"/>
      <c r="H76" s="56"/>
      <c r="I76" s="68"/>
      <c r="J76" s="68"/>
      <c r="K76" s="83"/>
      <c r="L76" s="83"/>
      <c r="M76" s="83"/>
      <c r="N76" s="16"/>
      <c r="O76" s="16"/>
      <c r="P76" s="103"/>
    </row>
    <row r="77" spans="1:17" ht="36.75" customHeight="1">
      <c r="B77" s="224"/>
      <c r="C77" s="225"/>
      <c r="D77" s="225"/>
      <c r="E77" s="60"/>
      <c r="F77" s="42"/>
      <c r="G77" s="89"/>
      <c r="H77" s="56"/>
      <c r="I77" s="68"/>
      <c r="J77" s="68"/>
      <c r="K77" s="83"/>
      <c r="L77" s="83"/>
      <c r="M77" s="83"/>
      <c r="N77" s="16"/>
      <c r="O77" s="16"/>
      <c r="P77" s="103"/>
    </row>
    <row r="78" spans="1:17" ht="14.25" customHeight="1">
      <c r="B78" s="103"/>
      <c r="C78" s="75"/>
      <c r="D78" s="56"/>
      <c r="E78" s="56"/>
      <c r="F78" s="103"/>
      <c r="G78" s="69"/>
      <c r="H78" s="56"/>
      <c r="I78" s="69"/>
      <c r="J78" s="69"/>
      <c r="K78" s="56"/>
      <c r="L78" s="56"/>
      <c r="M78" s="56"/>
      <c r="N78" s="103"/>
      <c r="O78" s="103"/>
      <c r="P78" s="103"/>
    </row>
    <row r="79" spans="1:17" hidden="1"/>
    <row r="80" spans="1:17">
      <c r="B80" s="18"/>
      <c r="D80" s="57"/>
      <c r="E80" s="3"/>
      <c r="G80" s="3"/>
      <c r="H80" s="3"/>
      <c r="I80" s="3"/>
      <c r="J80" s="3"/>
      <c r="K80" s="3"/>
      <c r="L80" s="3"/>
      <c r="M80" s="3"/>
    </row>
    <row r="81" spans="2:13">
      <c r="B81" s="18"/>
      <c r="D81" s="57"/>
      <c r="E81" s="3"/>
      <c r="G81" s="3"/>
      <c r="H81" s="3"/>
      <c r="I81" s="3"/>
      <c r="J81" s="3"/>
      <c r="K81" s="3"/>
      <c r="L81" s="3"/>
      <c r="M81" s="3"/>
    </row>
  </sheetData>
  <mergeCells count="38">
    <mergeCell ref="B77:D77"/>
    <mergeCell ref="B64:E64"/>
    <mergeCell ref="B65:E65"/>
    <mergeCell ref="B66:P66"/>
    <mergeCell ref="B68:D68"/>
    <mergeCell ref="B69:G69"/>
    <mergeCell ref="B76:D76"/>
    <mergeCell ref="M44:M45"/>
    <mergeCell ref="B57:E57"/>
    <mergeCell ref="B59:E59"/>
    <mergeCell ref="B61:E61"/>
    <mergeCell ref="B62:E62"/>
    <mergeCell ref="I44:I45"/>
    <mergeCell ref="K44:K45"/>
    <mergeCell ref="B63:E63"/>
    <mergeCell ref="C44:C45"/>
    <mergeCell ref="D44:D45"/>
    <mergeCell ref="E44:E45"/>
    <mergeCell ref="G44:G45"/>
    <mergeCell ref="G23:G24"/>
    <mergeCell ref="I23:I24"/>
    <mergeCell ref="K23:K24"/>
    <mergeCell ref="M23:M24"/>
    <mergeCell ref="N23:N24"/>
    <mergeCell ref="C37:C38"/>
    <mergeCell ref="D37:D38"/>
    <mergeCell ref="E37:E38"/>
    <mergeCell ref="G37:G38"/>
    <mergeCell ref="I37:I38"/>
    <mergeCell ref="A1:N1"/>
    <mergeCell ref="C12:C13"/>
    <mergeCell ref="D12:D13"/>
    <mergeCell ref="E12:E13"/>
    <mergeCell ref="F12:F13"/>
    <mergeCell ref="G12:G13"/>
    <mergeCell ref="I12:I13"/>
    <mergeCell ref="K12:K13"/>
    <mergeCell ref="N12:N13"/>
  </mergeCells>
  <pageMargins left="0.70866141732283472" right="0.70866141732283472" top="0.39370078740157483" bottom="0.39370078740157483" header="0.31496062992125984" footer="0.31496062992125984"/>
  <pageSetup paperSize="9" scale="9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1"/>
  <sheetViews>
    <sheetView zoomScale="96" zoomScaleNormal="96" workbookViewId="0">
      <pane ySplit="3228" activePane="bottomLeft"/>
      <selection activeCell="A2" sqref="A2"/>
      <selection pane="bottomLeft" activeCell="F64" sqref="F64"/>
    </sheetView>
  </sheetViews>
  <sheetFormatPr defaultColWidth="9.109375" defaultRowHeight="13.8"/>
  <cols>
    <col min="1" max="1" width="3.6640625" style="3" customWidth="1"/>
    <col min="2" max="2" width="18.6640625" style="3" customWidth="1"/>
    <col min="3" max="3" width="7.5546875" style="18" customWidth="1"/>
    <col min="4" max="4" width="9.44140625" style="51" customWidth="1"/>
    <col min="5" max="5" width="9.33203125" style="51" customWidth="1"/>
    <col min="6" max="6" width="8.109375" style="3" customWidth="1"/>
    <col min="7" max="7" width="9.5546875" style="63" customWidth="1"/>
    <col min="8" max="8" width="10.5546875" style="51" customWidth="1"/>
    <col min="9" max="9" width="9.33203125" style="63" customWidth="1"/>
    <col min="10" max="10" width="10.44140625" style="63" customWidth="1"/>
    <col min="11" max="11" width="8.88671875" style="51" customWidth="1"/>
    <col min="12" max="12" width="7.44140625" style="51" customWidth="1"/>
    <col min="13" max="13" width="7.88671875" style="51" customWidth="1"/>
    <col min="14" max="14" width="8.6640625" style="3" customWidth="1"/>
    <col min="15" max="15" width="9.44140625" style="3" customWidth="1"/>
    <col min="16" max="16" width="10" style="3" customWidth="1"/>
    <col min="17" max="16384" width="9.109375" style="3"/>
  </cols>
  <sheetData>
    <row r="1" spans="1:17" s="1" customFormat="1" ht="38.25" customHeight="1">
      <c r="A1" s="194" t="s">
        <v>147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20"/>
      <c r="P1" s="20"/>
    </row>
    <row r="2" spans="1:17" ht="114.75" customHeight="1">
      <c r="A2" s="6" t="s">
        <v>33</v>
      </c>
      <c r="B2" s="2" t="s">
        <v>14</v>
      </c>
      <c r="C2" s="2" t="s">
        <v>34</v>
      </c>
      <c r="D2" s="2" t="s">
        <v>22</v>
      </c>
      <c r="E2" s="2" t="s">
        <v>0</v>
      </c>
      <c r="F2" s="2" t="s">
        <v>35</v>
      </c>
      <c r="G2" s="47" t="s">
        <v>36</v>
      </c>
      <c r="H2" s="2" t="s">
        <v>37</v>
      </c>
      <c r="I2" s="47" t="s">
        <v>23</v>
      </c>
      <c r="J2" s="47" t="s">
        <v>38</v>
      </c>
      <c r="K2" s="2" t="s">
        <v>19</v>
      </c>
      <c r="L2" s="2" t="s">
        <v>1</v>
      </c>
      <c r="M2" s="2" t="s">
        <v>39</v>
      </c>
      <c r="N2" s="2" t="s">
        <v>21</v>
      </c>
    </row>
    <row r="3" spans="1:17" s="103" customFormat="1" ht="1.5" hidden="1" customHeight="1">
      <c r="A3" s="17"/>
      <c r="B3" s="2" t="s">
        <v>14</v>
      </c>
      <c r="C3" s="2" t="s">
        <v>13</v>
      </c>
      <c r="D3" s="2" t="s">
        <v>22</v>
      </c>
      <c r="E3" s="2" t="s">
        <v>0</v>
      </c>
      <c r="F3" s="2"/>
      <c r="G3" s="47" t="s">
        <v>30</v>
      </c>
      <c r="H3" s="2" t="s">
        <v>31</v>
      </c>
      <c r="I3" s="47" t="s">
        <v>23</v>
      </c>
      <c r="J3" s="47"/>
      <c r="K3" s="2" t="s">
        <v>19</v>
      </c>
      <c r="L3" s="2"/>
      <c r="M3" s="2"/>
      <c r="N3" s="2" t="s">
        <v>1</v>
      </c>
      <c r="O3" s="102" t="s">
        <v>20</v>
      </c>
      <c r="P3" s="102" t="s">
        <v>21</v>
      </c>
    </row>
    <row r="4" spans="1:17" ht="14.25" customHeight="1">
      <c r="A4" s="128">
        <v>1</v>
      </c>
      <c r="B4" s="129">
        <v>2</v>
      </c>
      <c r="C4" s="129">
        <v>3</v>
      </c>
      <c r="D4" s="130">
        <v>4</v>
      </c>
      <c r="E4" s="130">
        <v>5</v>
      </c>
      <c r="F4" s="131">
        <v>6</v>
      </c>
      <c r="G4" s="132">
        <v>7</v>
      </c>
      <c r="H4" s="130">
        <v>8</v>
      </c>
      <c r="I4" s="132">
        <v>9</v>
      </c>
      <c r="J4" s="132">
        <v>10</v>
      </c>
      <c r="K4" s="130">
        <v>11</v>
      </c>
      <c r="L4" s="130">
        <v>12</v>
      </c>
      <c r="M4" s="130">
        <v>13</v>
      </c>
      <c r="N4" s="131">
        <v>14</v>
      </c>
      <c r="O4" s="24"/>
      <c r="P4" s="24"/>
    </row>
    <row r="5" spans="1:17" ht="17.25" customHeight="1">
      <c r="A5" s="17"/>
      <c r="B5" s="4" t="s">
        <v>15</v>
      </c>
      <c r="C5" s="72"/>
      <c r="D5" s="52"/>
      <c r="E5" s="49"/>
      <c r="F5" s="5"/>
      <c r="G5" s="64"/>
      <c r="H5" s="49"/>
      <c r="I5" s="64"/>
      <c r="J5" s="64"/>
      <c r="K5" s="49"/>
      <c r="L5" s="49"/>
      <c r="M5" s="49"/>
      <c r="N5" s="5"/>
      <c r="O5" s="24"/>
      <c r="P5" s="24"/>
    </row>
    <row r="6" spans="1:17" ht="39.75" customHeight="1">
      <c r="A6" s="104"/>
      <c r="B6" s="105" t="s">
        <v>12</v>
      </c>
      <c r="C6" s="113"/>
      <c r="D6" s="114"/>
      <c r="E6" s="114"/>
      <c r="F6" s="115"/>
      <c r="G6" s="109"/>
      <c r="H6" s="116"/>
      <c r="I6" s="111"/>
      <c r="J6" s="111"/>
      <c r="K6" s="111"/>
      <c r="L6" s="111"/>
      <c r="M6" s="111"/>
      <c r="N6" s="112"/>
      <c r="O6" s="16"/>
      <c r="P6" s="103"/>
    </row>
    <row r="7" spans="1:17" ht="1.5" hidden="1" customHeight="1">
      <c r="A7" s="120">
        <v>2</v>
      </c>
      <c r="B7" s="122"/>
      <c r="C7" s="122"/>
      <c r="D7" s="123"/>
      <c r="E7" s="123"/>
      <c r="F7" s="122"/>
      <c r="G7" s="124"/>
      <c r="H7" s="123"/>
      <c r="I7" s="124"/>
      <c r="J7" s="124"/>
      <c r="K7" s="123"/>
      <c r="L7" s="123"/>
      <c r="M7" s="123"/>
    </row>
    <row r="8" spans="1:17" s="103" customFormat="1" ht="52.5" customHeight="1">
      <c r="A8" s="120">
        <v>1</v>
      </c>
      <c r="B8" s="11" t="s">
        <v>46</v>
      </c>
      <c r="C8" s="11" t="s">
        <v>40</v>
      </c>
      <c r="D8" s="179" t="s">
        <v>47</v>
      </c>
      <c r="E8" s="59" t="s">
        <v>43</v>
      </c>
      <c r="F8" s="46"/>
      <c r="G8" s="121">
        <v>3984.1</v>
      </c>
      <c r="H8" s="180">
        <f>98.75+70.18+0.98</f>
        <v>169.91</v>
      </c>
      <c r="I8" s="180">
        <v>3814.2</v>
      </c>
      <c r="J8" s="180"/>
      <c r="K8" s="13">
        <f>(H8+J8)/G8</f>
        <v>4.2647021912100597E-2</v>
      </c>
      <c r="L8" s="125">
        <v>0.1</v>
      </c>
      <c r="M8" s="125" t="s">
        <v>25</v>
      </c>
      <c r="N8" s="76" t="s">
        <v>57</v>
      </c>
      <c r="O8" s="25"/>
      <c r="P8" s="84"/>
    </row>
    <row r="9" spans="1:17" ht="40.5" customHeight="1">
      <c r="A9" s="104"/>
      <c r="B9" s="105" t="s">
        <v>17</v>
      </c>
      <c r="C9" s="106"/>
      <c r="D9" s="107"/>
      <c r="E9" s="107"/>
      <c r="F9" s="108"/>
      <c r="G9" s="109"/>
      <c r="H9" s="110"/>
      <c r="I9" s="111"/>
      <c r="J9" s="111"/>
      <c r="K9" s="111"/>
      <c r="L9" s="111"/>
      <c r="M9" s="111"/>
      <c r="N9" s="112"/>
      <c r="O9" s="16"/>
      <c r="P9" s="103"/>
    </row>
    <row r="10" spans="1:17" s="17" customFormat="1" ht="54.75" hidden="1" customHeight="1">
      <c r="B10" s="8" t="s">
        <v>4</v>
      </c>
      <c r="C10" s="9" t="s">
        <v>4</v>
      </c>
      <c r="D10" s="53" t="s">
        <v>3</v>
      </c>
      <c r="E10" s="53" t="s">
        <v>3</v>
      </c>
      <c r="F10" s="6"/>
      <c r="G10" s="87">
        <v>37883.4</v>
      </c>
      <c r="H10" s="62">
        <f>232.8</f>
        <v>232.8</v>
      </c>
      <c r="I10" s="65">
        <v>0</v>
      </c>
      <c r="J10" s="65"/>
      <c r="K10" s="32" t="e">
        <f>(#REF!+#REF!)/#REF!</f>
        <v>#REF!</v>
      </c>
      <c r="L10" s="71"/>
      <c r="M10" s="71"/>
      <c r="N10" s="21">
        <v>0</v>
      </c>
      <c r="O10" s="16"/>
      <c r="P10" s="103"/>
      <c r="Q10" s="23"/>
    </row>
    <row r="11" spans="1:17" s="17" customFormat="1" ht="51.75" hidden="1" customHeight="1">
      <c r="B11" s="8" t="s">
        <v>6</v>
      </c>
      <c r="C11" s="9" t="s">
        <v>6</v>
      </c>
      <c r="D11" s="53" t="s">
        <v>7</v>
      </c>
      <c r="E11" s="53" t="s">
        <v>7</v>
      </c>
      <c r="F11" s="6"/>
      <c r="G11" s="87">
        <v>28453.7</v>
      </c>
      <c r="H11" s="62">
        <f>793.75+16516.03</f>
        <v>17309.78</v>
      </c>
      <c r="I11" s="65">
        <v>0.9</v>
      </c>
      <c r="J11" s="65"/>
      <c r="K11" s="32" t="e">
        <f>(#REF!+#REF!)/#REF!</f>
        <v>#REF!</v>
      </c>
      <c r="L11" s="71"/>
      <c r="M11" s="71"/>
      <c r="N11" s="21">
        <v>0.9</v>
      </c>
      <c r="O11" s="16"/>
      <c r="P11" s="103"/>
      <c r="Q11" s="23"/>
    </row>
    <row r="12" spans="1:17" ht="39.75" customHeight="1">
      <c r="A12" s="17">
        <v>2</v>
      </c>
      <c r="B12" s="8" t="s">
        <v>66</v>
      </c>
      <c r="C12" s="196" t="s">
        <v>45</v>
      </c>
      <c r="D12" s="196" t="s">
        <v>51</v>
      </c>
      <c r="E12" s="198" t="s">
        <v>70</v>
      </c>
      <c r="F12" s="196"/>
      <c r="G12" s="200">
        <v>1995.4</v>
      </c>
      <c r="H12" s="126">
        <f>762.4</f>
        <v>762.4</v>
      </c>
      <c r="I12" s="200" t="s">
        <v>134</v>
      </c>
      <c r="J12" s="180"/>
      <c r="K12" s="202">
        <f>(H12+H13+J12+J13)/G12</f>
        <v>0.51425779292372464</v>
      </c>
      <c r="L12" s="172">
        <v>0.9</v>
      </c>
      <c r="M12" s="172" t="s">
        <v>25</v>
      </c>
      <c r="N12" s="204" t="s">
        <v>50</v>
      </c>
      <c r="O12" s="83"/>
      <c r="P12" s="84"/>
    </row>
    <row r="13" spans="1:17" ht="66" customHeight="1">
      <c r="A13" s="120">
        <v>3</v>
      </c>
      <c r="B13" s="8" t="s">
        <v>73</v>
      </c>
      <c r="C13" s="197"/>
      <c r="D13" s="197"/>
      <c r="E13" s="199"/>
      <c r="F13" s="197"/>
      <c r="G13" s="201"/>
      <c r="H13" s="126">
        <f>263.75</f>
        <v>263.75</v>
      </c>
      <c r="I13" s="201"/>
      <c r="J13" s="180"/>
      <c r="K13" s="203"/>
      <c r="L13" s="172">
        <v>1</v>
      </c>
      <c r="M13" s="172" t="s">
        <v>26</v>
      </c>
      <c r="N13" s="205"/>
      <c r="O13" s="83"/>
      <c r="P13" s="84"/>
    </row>
    <row r="14" spans="1:17" ht="39" customHeight="1">
      <c r="A14" s="120">
        <f>A13+1</f>
        <v>4</v>
      </c>
      <c r="B14" s="8" t="s">
        <v>67</v>
      </c>
      <c r="C14" s="48" t="s">
        <v>45</v>
      </c>
      <c r="D14" s="178" t="s">
        <v>68</v>
      </c>
      <c r="E14" s="179" t="s">
        <v>69</v>
      </c>
      <c r="F14" s="178"/>
      <c r="G14" s="180">
        <v>1690.6</v>
      </c>
      <c r="H14" s="126"/>
      <c r="I14" s="180">
        <v>1690.6</v>
      </c>
      <c r="J14" s="180"/>
      <c r="K14" s="85">
        <v>0</v>
      </c>
      <c r="L14" s="171">
        <v>0.9</v>
      </c>
      <c r="M14" s="172" t="s">
        <v>25</v>
      </c>
      <c r="N14" s="81" t="s">
        <v>50</v>
      </c>
      <c r="O14" s="83"/>
      <c r="P14" s="84"/>
    </row>
    <row r="15" spans="1:17" ht="43.5" customHeight="1">
      <c r="A15" s="120">
        <f t="shared" ref="A15" si="0">A14+1</f>
        <v>5</v>
      </c>
      <c r="B15" s="8" t="s">
        <v>90</v>
      </c>
      <c r="C15" s="48" t="s">
        <v>91</v>
      </c>
      <c r="D15" s="48" t="s">
        <v>127</v>
      </c>
      <c r="E15" s="179" t="s">
        <v>105</v>
      </c>
      <c r="F15" s="178"/>
      <c r="G15" s="180">
        <v>12144.5</v>
      </c>
      <c r="H15" s="126">
        <f>2532.5</f>
        <v>2532.5</v>
      </c>
      <c r="I15" s="180">
        <v>9611.9</v>
      </c>
      <c r="J15" s="180"/>
      <c r="K15" s="13">
        <f>(H15+J15)/G15</f>
        <v>0.20853061056445304</v>
      </c>
      <c r="L15" s="172">
        <v>0.25</v>
      </c>
      <c r="M15" s="172"/>
      <c r="N15" s="173"/>
      <c r="O15" s="83"/>
      <c r="P15" s="84"/>
    </row>
    <row r="16" spans="1:17" ht="36.75" customHeight="1">
      <c r="A16" s="160"/>
      <c r="B16" s="105" t="s">
        <v>11</v>
      </c>
      <c r="C16" s="117"/>
      <c r="D16" s="116"/>
      <c r="E16" s="116"/>
      <c r="F16" s="104"/>
      <c r="G16" s="116"/>
      <c r="H16" s="110"/>
      <c r="I16" s="116"/>
      <c r="J16" s="116"/>
      <c r="K16" s="111"/>
      <c r="L16" s="111"/>
      <c r="M16" s="111"/>
      <c r="N16" s="118"/>
      <c r="O16" s="103"/>
      <c r="P16" s="103"/>
    </row>
    <row r="17" spans="1:16" ht="27" hidden="1" customHeight="1">
      <c r="A17" s="120">
        <v>14</v>
      </c>
      <c r="B17" s="8" t="s">
        <v>2</v>
      </c>
      <c r="C17" s="9" t="s">
        <v>2</v>
      </c>
      <c r="D17" s="49" t="s">
        <v>3</v>
      </c>
      <c r="E17" s="49" t="s">
        <v>3</v>
      </c>
      <c r="F17" s="17"/>
      <c r="G17" s="86">
        <v>67601.3</v>
      </c>
      <c r="H17" s="62">
        <f>9598.11+19.196+134.37+10231.1+3594.134+50.32</f>
        <v>23627.230000000003</v>
      </c>
      <c r="I17" s="65">
        <v>0.7</v>
      </c>
      <c r="J17" s="65"/>
      <c r="K17" s="101">
        <f>(H10+J10)/G10</f>
        <v>6.1451717638860296E-3</v>
      </c>
      <c r="L17" s="32"/>
      <c r="M17" s="32"/>
      <c r="N17" s="7">
        <v>0.7</v>
      </c>
      <c r="O17" s="16"/>
      <c r="P17" s="103"/>
    </row>
    <row r="18" spans="1:16" ht="27" hidden="1" customHeight="1">
      <c r="A18" s="120">
        <v>15</v>
      </c>
      <c r="B18" s="8" t="s">
        <v>10</v>
      </c>
      <c r="C18" s="9" t="s">
        <v>10</v>
      </c>
      <c r="D18" s="53" t="s">
        <v>9</v>
      </c>
      <c r="E18" s="53" t="s">
        <v>9</v>
      </c>
      <c r="F18" s="6"/>
      <c r="G18" s="86">
        <v>48937.9</v>
      </c>
      <c r="H18" s="62">
        <f>332.8</f>
        <v>332.8</v>
      </c>
      <c r="I18" s="65">
        <v>0</v>
      </c>
      <c r="J18" s="65"/>
      <c r="K18" s="101">
        <f>(H11+J11)/G11</f>
        <v>0.60834900206300058</v>
      </c>
      <c r="L18" s="32"/>
      <c r="M18" s="32"/>
      <c r="N18" s="7">
        <v>0</v>
      </c>
      <c r="O18" s="16"/>
      <c r="P18" s="26"/>
    </row>
    <row r="19" spans="1:16" ht="74.25" hidden="1" customHeight="1">
      <c r="A19" s="120">
        <v>16</v>
      </c>
      <c r="B19" s="8" t="s">
        <v>5</v>
      </c>
      <c r="C19" s="9" t="s">
        <v>5</v>
      </c>
      <c r="D19" s="53" t="s">
        <v>8</v>
      </c>
      <c r="E19" s="53" t="s">
        <v>8</v>
      </c>
      <c r="F19" s="6"/>
      <c r="G19" s="86">
        <v>31585.4</v>
      </c>
      <c r="H19" s="62">
        <f>7.2+2.4+1462.2+25029.72+350.42</f>
        <v>26851.94</v>
      </c>
      <c r="I19" s="85">
        <v>0.8</v>
      </c>
      <c r="J19" s="85"/>
      <c r="K19" s="101" t="e">
        <f>(#REF!+#REF!)/#REF!</f>
        <v>#REF!</v>
      </c>
      <c r="L19" s="32"/>
      <c r="M19" s="32"/>
      <c r="N19" s="12">
        <v>0.8</v>
      </c>
      <c r="O19" s="27"/>
      <c r="P19" s="26"/>
    </row>
    <row r="20" spans="1:16" ht="0.75" hidden="1" customHeight="1">
      <c r="A20" s="120">
        <v>17</v>
      </c>
      <c r="B20" s="8" t="s">
        <v>2</v>
      </c>
      <c r="C20" s="9" t="s">
        <v>32</v>
      </c>
      <c r="D20" s="49" t="s">
        <v>3</v>
      </c>
      <c r="E20" s="49" t="s">
        <v>3</v>
      </c>
      <c r="F20" s="17"/>
      <c r="G20" s="86">
        <v>67601.3</v>
      </c>
      <c r="H20" s="62">
        <f>9598.11+19.196+134.37+10231.1+3594.134+50.32</f>
        <v>23627.230000000003</v>
      </c>
      <c r="I20" s="66">
        <v>0.7</v>
      </c>
      <c r="J20" s="66"/>
      <c r="K20" s="101" t="e">
        <f>(#REF!+#REF!)/#REF!</f>
        <v>#REF!</v>
      </c>
      <c r="L20" s="71"/>
      <c r="M20" s="71"/>
      <c r="N20" s="21"/>
      <c r="O20" s="16"/>
      <c r="P20" s="103"/>
    </row>
    <row r="21" spans="1:16" ht="39.6" hidden="1">
      <c r="A21" s="120">
        <v>18</v>
      </c>
      <c r="B21" s="8" t="s">
        <v>10</v>
      </c>
      <c r="C21" s="9" t="s">
        <v>32</v>
      </c>
      <c r="D21" s="53" t="s">
        <v>9</v>
      </c>
      <c r="E21" s="53" t="s">
        <v>9</v>
      </c>
      <c r="F21" s="6"/>
      <c r="G21" s="86">
        <v>48937.9</v>
      </c>
      <c r="H21" s="62">
        <f>332.8</f>
        <v>332.8</v>
      </c>
      <c r="I21" s="66">
        <v>0</v>
      </c>
      <c r="J21" s="66"/>
      <c r="K21" s="101" t="e">
        <f>(#REF!+#REF!)/#REF!</f>
        <v>#REF!</v>
      </c>
      <c r="L21" s="71"/>
      <c r="M21" s="71"/>
      <c r="N21" s="21">
        <v>0</v>
      </c>
      <c r="O21" s="16"/>
      <c r="P21" s="26"/>
    </row>
    <row r="22" spans="1:16" ht="0.75" hidden="1" customHeight="1">
      <c r="A22" s="120">
        <v>19</v>
      </c>
      <c r="B22" s="10" t="s">
        <v>5</v>
      </c>
      <c r="C22" s="9" t="s">
        <v>32</v>
      </c>
      <c r="D22" s="54" t="s">
        <v>8</v>
      </c>
      <c r="E22" s="54" t="s">
        <v>8</v>
      </c>
      <c r="F22" s="6"/>
      <c r="G22" s="88">
        <v>31585.4</v>
      </c>
      <c r="H22" s="82">
        <f>7.2+2.4+1462.2+25029.72+350.42</f>
        <v>26851.94</v>
      </c>
      <c r="I22" s="67">
        <v>0.8</v>
      </c>
      <c r="J22" s="67"/>
      <c r="K22" s="101" t="e">
        <f>(#REF!+#REF!)/#REF!</f>
        <v>#REF!</v>
      </c>
      <c r="L22" s="50"/>
      <c r="M22" s="50"/>
      <c r="N22" s="22">
        <v>0.8</v>
      </c>
      <c r="O22" s="27"/>
      <c r="P22" s="26"/>
    </row>
    <row r="23" spans="1:16" ht="49.5" customHeight="1">
      <c r="A23" s="120">
        <v>6</v>
      </c>
      <c r="B23" s="45" t="s">
        <v>48</v>
      </c>
      <c r="C23" s="176" t="s">
        <v>24</v>
      </c>
      <c r="D23" s="175">
        <v>41095</v>
      </c>
      <c r="E23" s="176" t="s">
        <v>43</v>
      </c>
      <c r="F23" s="78"/>
      <c r="G23" s="212">
        <v>3517.7</v>
      </c>
      <c r="H23" s="177">
        <f>14.7+1000.92+624.84</f>
        <v>1640.46</v>
      </c>
      <c r="I23" s="212">
        <v>487.5</v>
      </c>
      <c r="J23" s="177"/>
      <c r="K23" s="202">
        <f>(H23+H24+J23+J24)/G23</f>
        <v>0.86142593171674675</v>
      </c>
      <c r="L23" s="80">
        <v>0.9</v>
      </c>
      <c r="M23" s="202" t="s">
        <v>128</v>
      </c>
      <c r="N23" s="204" t="s">
        <v>107</v>
      </c>
      <c r="O23" s="28"/>
      <c r="P23" s="30"/>
    </row>
    <row r="24" spans="1:16" ht="38.25" customHeight="1">
      <c r="A24" s="17">
        <v>7</v>
      </c>
      <c r="B24" s="45" t="s">
        <v>49</v>
      </c>
      <c r="C24" s="176" t="s">
        <v>24</v>
      </c>
      <c r="D24" s="175">
        <v>41095</v>
      </c>
      <c r="E24" s="176" t="s">
        <v>43</v>
      </c>
      <c r="F24" s="78"/>
      <c r="G24" s="213"/>
      <c r="H24" s="177">
        <f>12+830.098+547.68</f>
        <v>1389.7779999999998</v>
      </c>
      <c r="I24" s="213"/>
      <c r="J24" s="177"/>
      <c r="K24" s="214"/>
      <c r="L24" s="80">
        <v>0.9</v>
      </c>
      <c r="M24" s="215"/>
      <c r="N24" s="216"/>
      <c r="O24" s="28"/>
      <c r="P24" s="30"/>
    </row>
    <row r="25" spans="1:16" ht="76.5" customHeight="1">
      <c r="A25" s="17">
        <v>8</v>
      </c>
      <c r="B25" s="44" t="s">
        <v>101</v>
      </c>
      <c r="C25" s="97" t="s">
        <v>18</v>
      </c>
      <c r="D25" s="77" t="s">
        <v>74</v>
      </c>
      <c r="E25" s="78" t="s">
        <v>65</v>
      </c>
      <c r="F25" s="78"/>
      <c r="G25" s="14">
        <v>27549.200000000001</v>
      </c>
      <c r="H25" s="79">
        <f>24251.75</f>
        <v>24251.75</v>
      </c>
      <c r="I25" s="14">
        <v>3297.3</v>
      </c>
      <c r="J25" s="14"/>
      <c r="K25" s="171">
        <f t="shared" ref="K25:K35" si="1">(H25+J25)/G25</f>
        <v>0.8803068691649848</v>
      </c>
      <c r="L25" s="85">
        <v>0.9</v>
      </c>
      <c r="M25" s="13" t="s">
        <v>25</v>
      </c>
      <c r="N25" s="81" t="s">
        <v>50</v>
      </c>
      <c r="O25" s="28"/>
      <c r="P25" s="30"/>
    </row>
    <row r="26" spans="1:16" ht="117.75" customHeight="1">
      <c r="A26" s="120">
        <v>9</v>
      </c>
      <c r="B26" s="44" t="s">
        <v>85</v>
      </c>
      <c r="C26" s="97" t="s">
        <v>44</v>
      </c>
      <c r="D26" s="77" t="s">
        <v>75</v>
      </c>
      <c r="E26" s="78" t="s">
        <v>76</v>
      </c>
      <c r="F26" s="78"/>
      <c r="G26" s="14">
        <v>37331.1</v>
      </c>
      <c r="H26" s="79">
        <f>37246.4</f>
        <v>37246.400000000001</v>
      </c>
      <c r="I26" s="14">
        <v>84.7</v>
      </c>
      <c r="J26" s="14">
        <f>84.55</f>
        <v>84.55</v>
      </c>
      <c r="K26" s="171">
        <f t="shared" si="1"/>
        <v>0.99999598190248895</v>
      </c>
      <c r="L26" s="85">
        <v>1</v>
      </c>
      <c r="M26" s="13" t="s">
        <v>26</v>
      </c>
      <c r="N26" s="81"/>
      <c r="O26" s="28"/>
      <c r="P26" s="30"/>
    </row>
    <row r="27" spans="1:16" ht="117.75" customHeight="1">
      <c r="A27" s="120">
        <f>A26+1</f>
        <v>10</v>
      </c>
      <c r="B27" s="44" t="s">
        <v>86</v>
      </c>
      <c r="C27" s="97" t="s">
        <v>44</v>
      </c>
      <c r="D27" s="77" t="s">
        <v>75</v>
      </c>
      <c r="E27" s="78" t="s">
        <v>76</v>
      </c>
      <c r="F27" s="78"/>
      <c r="G27" s="14">
        <v>28332.9</v>
      </c>
      <c r="H27" s="79">
        <f>28310</f>
        <v>28310</v>
      </c>
      <c r="I27" s="14">
        <v>23</v>
      </c>
      <c r="J27" s="14">
        <f>22.88</f>
        <v>22.88</v>
      </c>
      <c r="K27" s="171">
        <f t="shared" si="1"/>
        <v>0.99999929410685107</v>
      </c>
      <c r="L27" s="85">
        <v>1</v>
      </c>
      <c r="M27" s="13" t="s">
        <v>26</v>
      </c>
      <c r="N27" s="81"/>
      <c r="O27" s="28"/>
      <c r="P27" s="30"/>
    </row>
    <row r="28" spans="1:16" ht="65.25" customHeight="1">
      <c r="A28" s="120">
        <v>11</v>
      </c>
      <c r="B28" s="133" t="s">
        <v>81</v>
      </c>
      <c r="C28" s="97" t="s">
        <v>82</v>
      </c>
      <c r="D28" s="77" t="s">
        <v>109</v>
      </c>
      <c r="E28" s="78" t="s">
        <v>76</v>
      </c>
      <c r="F28" s="78"/>
      <c r="G28" s="14">
        <v>3517.6</v>
      </c>
      <c r="H28" s="79">
        <f>3078.31</f>
        <v>3078.31</v>
      </c>
      <c r="I28" s="14">
        <v>439.3</v>
      </c>
      <c r="J28" s="14">
        <f>312.75</f>
        <v>312.75</v>
      </c>
      <c r="K28" s="171">
        <f t="shared" si="1"/>
        <v>0.96402660905162607</v>
      </c>
      <c r="L28" s="85">
        <v>1</v>
      </c>
      <c r="M28" s="13" t="s">
        <v>26</v>
      </c>
      <c r="N28" s="81"/>
      <c r="O28" s="28"/>
      <c r="P28" s="30"/>
    </row>
    <row r="29" spans="1:16" ht="43.5" customHeight="1">
      <c r="A29" s="120">
        <f>A28+1</f>
        <v>12</v>
      </c>
      <c r="B29" s="133" t="s">
        <v>103</v>
      </c>
      <c r="C29" s="97" t="s">
        <v>87</v>
      </c>
      <c r="D29" s="77" t="s">
        <v>110</v>
      </c>
      <c r="E29" s="78" t="s">
        <v>105</v>
      </c>
      <c r="F29" s="78"/>
      <c r="G29" s="14">
        <v>10549.4</v>
      </c>
      <c r="H29" s="79">
        <f>1193.56</f>
        <v>1193.56</v>
      </c>
      <c r="I29" s="14">
        <v>9355.7999999999993</v>
      </c>
      <c r="J29" s="14"/>
      <c r="K29" s="171">
        <f t="shared" si="1"/>
        <v>0.11314008379623486</v>
      </c>
      <c r="L29" s="85">
        <v>0.85</v>
      </c>
      <c r="M29" s="13"/>
      <c r="N29" s="81"/>
      <c r="O29" s="28"/>
      <c r="P29" s="30"/>
    </row>
    <row r="30" spans="1:16" ht="51" customHeight="1">
      <c r="A30" s="120">
        <v>13</v>
      </c>
      <c r="B30" s="133" t="s">
        <v>104</v>
      </c>
      <c r="C30" s="97" t="s">
        <v>106</v>
      </c>
      <c r="D30" s="77" t="s">
        <v>110</v>
      </c>
      <c r="E30" s="78" t="s">
        <v>105</v>
      </c>
      <c r="F30" s="78"/>
      <c r="G30" s="14">
        <v>6951.2</v>
      </c>
      <c r="H30" s="79">
        <f>508.9</f>
        <v>508.9</v>
      </c>
      <c r="I30" s="14">
        <v>6442.3</v>
      </c>
      <c r="J30" s="14"/>
      <c r="K30" s="171">
        <f t="shared" si="1"/>
        <v>7.3210380941420183E-2</v>
      </c>
      <c r="L30" s="85">
        <v>0.05</v>
      </c>
      <c r="M30" s="13"/>
      <c r="N30" s="81" t="s">
        <v>135</v>
      </c>
      <c r="O30" s="28"/>
      <c r="P30" s="30"/>
    </row>
    <row r="31" spans="1:16" ht="291" customHeight="1">
      <c r="A31" s="120">
        <f>A30+1</f>
        <v>14</v>
      </c>
      <c r="B31" s="133" t="s">
        <v>84</v>
      </c>
      <c r="C31" s="97" t="s">
        <v>80</v>
      </c>
      <c r="D31" s="77" t="s">
        <v>79</v>
      </c>
      <c r="E31" s="78" t="s">
        <v>78</v>
      </c>
      <c r="F31" s="78"/>
      <c r="G31" s="14">
        <v>23461.7</v>
      </c>
      <c r="H31" s="79">
        <f>16397.5</f>
        <v>16397.5</v>
      </c>
      <c r="I31" s="14">
        <v>16490.900000000001</v>
      </c>
      <c r="J31" s="14">
        <f>1208.68</f>
        <v>1208.68</v>
      </c>
      <c r="K31" s="171">
        <f t="shared" si="1"/>
        <v>0.75042217742107353</v>
      </c>
      <c r="L31" s="85">
        <v>0.9</v>
      </c>
      <c r="M31" s="13"/>
      <c r="N31" s="81"/>
      <c r="O31" s="28"/>
      <c r="P31" s="30"/>
    </row>
    <row r="32" spans="1:16" ht="225" customHeight="1">
      <c r="A32" s="17">
        <v>15</v>
      </c>
      <c r="B32" s="133" t="s">
        <v>102</v>
      </c>
      <c r="C32" s="97" t="s">
        <v>44</v>
      </c>
      <c r="D32" s="77" t="s">
        <v>129</v>
      </c>
      <c r="E32" s="78" t="s">
        <v>76</v>
      </c>
      <c r="F32" s="78"/>
      <c r="G32" s="14">
        <v>37835</v>
      </c>
      <c r="H32" s="79">
        <f>16504.78</f>
        <v>16504.78</v>
      </c>
      <c r="I32" s="14">
        <v>7064.2</v>
      </c>
      <c r="J32" s="14">
        <f>5070.73</f>
        <v>5070.7299999999996</v>
      </c>
      <c r="K32" s="171">
        <f t="shared" si="1"/>
        <v>0.57025267609356411</v>
      </c>
      <c r="L32" s="85">
        <v>0.9</v>
      </c>
      <c r="M32" s="13"/>
      <c r="N32" s="81"/>
      <c r="O32" s="28"/>
      <c r="P32" s="30"/>
    </row>
    <row r="33" spans="1:16" ht="173.25" customHeight="1">
      <c r="A33" s="120">
        <v>16</v>
      </c>
      <c r="B33" s="133" t="s">
        <v>83</v>
      </c>
      <c r="C33" s="97" t="s">
        <v>87</v>
      </c>
      <c r="D33" s="77" t="s">
        <v>88</v>
      </c>
      <c r="E33" s="78" t="s">
        <v>76</v>
      </c>
      <c r="F33" s="78"/>
      <c r="G33" s="14">
        <v>64186</v>
      </c>
      <c r="H33" s="79">
        <f>43244.2</f>
        <v>43244.2</v>
      </c>
      <c r="I33" s="14">
        <v>20941.7</v>
      </c>
      <c r="J33" s="14">
        <f>9403.43+4239.28</f>
        <v>13642.71</v>
      </c>
      <c r="K33" s="171">
        <f t="shared" si="1"/>
        <v>0.88628221107406591</v>
      </c>
      <c r="L33" s="85">
        <v>0.9</v>
      </c>
      <c r="M33" s="13"/>
      <c r="N33" s="81"/>
      <c r="O33" s="28"/>
      <c r="P33" s="30"/>
    </row>
    <row r="34" spans="1:16" ht="153.75" customHeight="1">
      <c r="A34" s="120">
        <v>17</v>
      </c>
      <c r="B34" s="133" t="s">
        <v>89</v>
      </c>
      <c r="C34" s="97" t="s">
        <v>87</v>
      </c>
      <c r="D34" s="77" t="s">
        <v>88</v>
      </c>
      <c r="E34" s="78" t="s">
        <v>76</v>
      </c>
      <c r="F34" s="78"/>
      <c r="G34" s="14">
        <v>48371.6</v>
      </c>
      <c r="H34" s="79">
        <f>33052.1</f>
        <v>33052.1</v>
      </c>
      <c r="I34" s="14">
        <v>15319.5</v>
      </c>
      <c r="J34" s="14">
        <f>8056.2+797.16</f>
        <v>8853.36</v>
      </c>
      <c r="K34" s="171">
        <f t="shared" si="1"/>
        <v>0.86632362791389994</v>
      </c>
      <c r="L34" s="85">
        <v>0.9</v>
      </c>
      <c r="M34" s="13"/>
      <c r="N34" s="81"/>
      <c r="O34" s="28"/>
      <c r="P34" s="30"/>
    </row>
    <row r="35" spans="1:16" ht="73.5" customHeight="1">
      <c r="A35" s="17">
        <f>A34+1</f>
        <v>18</v>
      </c>
      <c r="B35" s="44" t="s">
        <v>77</v>
      </c>
      <c r="C35" s="97" t="s">
        <v>80</v>
      </c>
      <c r="D35" s="77" t="s">
        <v>75</v>
      </c>
      <c r="E35" s="78" t="s">
        <v>78</v>
      </c>
      <c r="F35" s="78" t="s">
        <v>131</v>
      </c>
      <c r="G35" s="14">
        <v>9294.1</v>
      </c>
      <c r="H35" s="79"/>
      <c r="I35" s="14">
        <v>2.2999999999999998</v>
      </c>
      <c r="J35" s="14">
        <f>526.8+4967.9+3099.24+43.39+631.34+2.6+20.4</f>
        <v>9291.6699999999983</v>
      </c>
      <c r="K35" s="171">
        <f t="shared" si="1"/>
        <v>0.99973854380736138</v>
      </c>
      <c r="L35" s="85">
        <v>1</v>
      </c>
      <c r="M35" s="13" t="s">
        <v>26</v>
      </c>
      <c r="N35" s="81"/>
      <c r="O35" s="28"/>
      <c r="P35" s="30"/>
    </row>
    <row r="36" spans="1:16" ht="35.25" customHeight="1">
      <c r="A36" s="160"/>
      <c r="B36" s="161" t="s">
        <v>92</v>
      </c>
      <c r="C36" s="162"/>
      <c r="D36" s="163"/>
      <c r="E36" s="163"/>
      <c r="F36" s="163"/>
      <c r="G36" s="164"/>
      <c r="H36" s="165"/>
      <c r="I36" s="164"/>
      <c r="J36" s="164"/>
      <c r="K36" s="166"/>
      <c r="L36" s="167"/>
      <c r="M36" s="167"/>
      <c r="N36" s="81"/>
      <c r="O36" s="139"/>
      <c r="P36" s="30"/>
    </row>
    <row r="37" spans="1:16" ht="35.25" customHeight="1">
      <c r="A37" s="120">
        <v>19</v>
      </c>
      <c r="B37" s="133" t="s">
        <v>93</v>
      </c>
      <c r="C37" s="206" t="s">
        <v>40</v>
      </c>
      <c r="D37" s="208" t="s">
        <v>98</v>
      </c>
      <c r="E37" s="210" t="s">
        <v>65</v>
      </c>
      <c r="F37" s="78"/>
      <c r="G37" s="212">
        <v>5168.1000000000004</v>
      </c>
      <c r="H37" s="79">
        <f>52.6</f>
        <v>52.6</v>
      </c>
      <c r="I37" s="212">
        <v>5115.5</v>
      </c>
      <c r="J37" s="14"/>
      <c r="K37" s="171"/>
      <c r="L37" s="85">
        <v>0.95</v>
      </c>
      <c r="M37" s="13" t="s">
        <v>25</v>
      </c>
      <c r="N37" s="76" t="s">
        <v>50</v>
      </c>
      <c r="O37" s="28" t="s">
        <v>133</v>
      </c>
      <c r="P37" s="30"/>
    </row>
    <row r="38" spans="1:16" ht="35.25" customHeight="1">
      <c r="A38" s="120">
        <f>A37+1</f>
        <v>20</v>
      </c>
      <c r="B38" s="133" t="s">
        <v>94</v>
      </c>
      <c r="C38" s="207"/>
      <c r="D38" s="209"/>
      <c r="E38" s="211"/>
      <c r="F38" s="78"/>
      <c r="G38" s="213"/>
      <c r="H38" s="79"/>
      <c r="I38" s="213"/>
      <c r="J38" s="14"/>
      <c r="K38" s="171"/>
      <c r="L38" s="171"/>
      <c r="M38" s="13" t="s">
        <v>25</v>
      </c>
      <c r="N38" s="81" t="s">
        <v>130</v>
      </c>
      <c r="O38" s="28" t="s">
        <v>133</v>
      </c>
      <c r="P38" s="30"/>
    </row>
    <row r="39" spans="1:16" ht="36.75" customHeight="1">
      <c r="A39" s="120">
        <f t="shared" ref="A39:A47" si="2">A38+1</f>
        <v>21</v>
      </c>
      <c r="B39" s="133" t="s">
        <v>95</v>
      </c>
      <c r="C39" s="97" t="s">
        <v>99</v>
      </c>
      <c r="D39" s="77" t="s">
        <v>108</v>
      </c>
      <c r="E39" s="78" t="s">
        <v>76</v>
      </c>
      <c r="F39" s="78"/>
      <c r="G39" s="14">
        <v>3088.5</v>
      </c>
      <c r="H39" s="79">
        <f>563.95</f>
        <v>563.95000000000005</v>
      </c>
      <c r="I39" s="14">
        <v>2524.5</v>
      </c>
      <c r="J39" s="14"/>
      <c r="K39" s="171">
        <f t="shared" ref="K39:K43" si="3">(H39+J39)/G39</f>
        <v>0.18259672980411204</v>
      </c>
      <c r="L39" s="85">
        <v>1</v>
      </c>
      <c r="M39" s="13" t="s">
        <v>26</v>
      </c>
      <c r="N39" s="81"/>
      <c r="O39" s="28"/>
      <c r="P39" s="30"/>
    </row>
    <row r="40" spans="1:16" ht="54.75" customHeight="1">
      <c r="A40" s="120">
        <f t="shared" si="2"/>
        <v>22</v>
      </c>
      <c r="B40" s="133" t="s">
        <v>111</v>
      </c>
      <c r="C40" s="174" t="s">
        <v>114</v>
      </c>
      <c r="D40" s="175" t="s">
        <v>112</v>
      </c>
      <c r="E40" s="176" t="s">
        <v>113</v>
      </c>
      <c r="F40" s="78"/>
      <c r="G40" s="177">
        <v>3959.2</v>
      </c>
      <c r="H40" s="79">
        <f>564.93</f>
        <v>564.92999999999995</v>
      </c>
      <c r="I40" s="177">
        <v>3394.4</v>
      </c>
      <c r="J40" s="14"/>
      <c r="K40" s="171">
        <f t="shared" si="3"/>
        <v>0.14268791675085876</v>
      </c>
      <c r="L40" s="85">
        <v>0</v>
      </c>
      <c r="M40" s="13"/>
      <c r="N40" s="81" t="s">
        <v>135</v>
      </c>
      <c r="O40" s="28"/>
      <c r="P40" s="30"/>
    </row>
    <row r="41" spans="1:16" ht="39" customHeight="1">
      <c r="A41" s="120">
        <f t="shared" si="2"/>
        <v>23</v>
      </c>
      <c r="B41" s="133" t="s">
        <v>115</v>
      </c>
      <c r="C41" s="174" t="s">
        <v>97</v>
      </c>
      <c r="D41" s="175" t="s">
        <v>116</v>
      </c>
      <c r="E41" s="176" t="s">
        <v>119</v>
      </c>
      <c r="F41" s="78"/>
      <c r="G41" s="177">
        <v>12378.1</v>
      </c>
      <c r="H41" s="79">
        <f>835.33</f>
        <v>835.33</v>
      </c>
      <c r="I41" s="177">
        <v>11542.8</v>
      </c>
      <c r="J41" s="14"/>
      <c r="K41" s="171">
        <f t="shared" si="3"/>
        <v>6.7484508931096046E-2</v>
      </c>
      <c r="L41" s="85">
        <v>1</v>
      </c>
      <c r="M41" s="13" t="s">
        <v>26</v>
      </c>
      <c r="N41" s="81"/>
      <c r="O41" s="28"/>
      <c r="P41" s="30"/>
    </row>
    <row r="42" spans="1:16" ht="39" customHeight="1">
      <c r="A42" s="120">
        <f t="shared" si="2"/>
        <v>24</v>
      </c>
      <c r="B42" s="133" t="s">
        <v>117</v>
      </c>
      <c r="C42" s="174" t="s">
        <v>80</v>
      </c>
      <c r="D42" s="175" t="s">
        <v>69</v>
      </c>
      <c r="E42" s="176" t="s">
        <v>119</v>
      </c>
      <c r="F42" s="78"/>
      <c r="G42" s="177">
        <v>31482.1</v>
      </c>
      <c r="H42" s="79">
        <f>3739.02</f>
        <v>3739.02</v>
      </c>
      <c r="I42" s="177">
        <v>27743.1</v>
      </c>
      <c r="J42" s="14"/>
      <c r="K42" s="171">
        <f t="shared" si="3"/>
        <v>0.11876653717509315</v>
      </c>
      <c r="L42" s="85">
        <v>0.7</v>
      </c>
      <c r="M42" s="13"/>
      <c r="N42" s="81"/>
      <c r="O42" s="28"/>
      <c r="P42" s="30"/>
    </row>
    <row r="43" spans="1:16" ht="131.4" customHeight="1">
      <c r="A43" s="120">
        <f t="shared" si="2"/>
        <v>25</v>
      </c>
      <c r="B43" s="133" t="s">
        <v>118</v>
      </c>
      <c r="C43" s="174" t="s">
        <v>97</v>
      </c>
      <c r="D43" s="175" t="s">
        <v>110</v>
      </c>
      <c r="E43" s="176" t="s">
        <v>119</v>
      </c>
      <c r="F43" s="78"/>
      <c r="G43" s="177">
        <v>29221.8</v>
      </c>
      <c r="H43" s="79">
        <f>4268.64</f>
        <v>4268.6400000000003</v>
      </c>
      <c r="I43" s="177">
        <v>24953.200000000001</v>
      </c>
      <c r="J43" s="14"/>
      <c r="K43" s="171">
        <f t="shared" si="3"/>
        <v>0.14607724370162004</v>
      </c>
      <c r="L43" s="85">
        <v>0</v>
      </c>
      <c r="M43" s="13" t="s">
        <v>128</v>
      </c>
      <c r="N43" s="81" t="s">
        <v>136</v>
      </c>
      <c r="O43" s="28"/>
      <c r="P43" s="30"/>
    </row>
    <row r="44" spans="1:16" ht="33.6" customHeight="1">
      <c r="A44" s="120">
        <f>A43+1</f>
        <v>26</v>
      </c>
      <c r="B44" s="133" t="s">
        <v>122</v>
      </c>
      <c r="C44" s="206" t="s">
        <v>100</v>
      </c>
      <c r="D44" s="208" t="s">
        <v>120</v>
      </c>
      <c r="E44" s="210" t="s">
        <v>121</v>
      </c>
      <c r="F44" s="78"/>
      <c r="G44" s="212">
        <v>17531.5</v>
      </c>
      <c r="H44" s="79">
        <f>3830.78</f>
        <v>3830.78</v>
      </c>
      <c r="I44" s="212">
        <v>7779.5</v>
      </c>
      <c r="J44" s="14"/>
      <c r="K44" s="222">
        <f>(J44+J45+H44+H45)/G44</f>
        <v>0.55625474146536236</v>
      </c>
      <c r="L44" s="85">
        <v>0.95</v>
      </c>
      <c r="M44" s="202"/>
      <c r="N44" s="81"/>
      <c r="O44" s="28"/>
      <c r="P44" s="30"/>
    </row>
    <row r="45" spans="1:16" ht="34.5" customHeight="1">
      <c r="A45" s="120">
        <f t="shared" si="2"/>
        <v>27</v>
      </c>
      <c r="B45" s="133" t="s">
        <v>96</v>
      </c>
      <c r="C45" s="205"/>
      <c r="D45" s="205"/>
      <c r="E45" s="205"/>
      <c r="F45" s="78"/>
      <c r="G45" s="205"/>
      <c r="H45" s="79">
        <f>5921.2</f>
        <v>5921.2</v>
      </c>
      <c r="I45" s="205"/>
      <c r="J45" s="14"/>
      <c r="K45" s="223"/>
      <c r="L45" s="85">
        <v>0.95</v>
      </c>
      <c r="M45" s="215"/>
      <c r="N45" s="81"/>
      <c r="O45" s="28"/>
      <c r="P45" s="30"/>
    </row>
    <row r="46" spans="1:16" ht="33" customHeight="1">
      <c r="A46" s="120">
        <f t="shared" si="2"/>
        <v>28</v>
      </c>
      <c r="B46" s="133" t="s">
        <v>125</v>
      </c>
      <c r="C46" s="174" t="s">
        <v>123</v>
      </c>
      <c r="D46" s="175" t="s">
        <v>110</v>
      </c>
      <c r="E46" s="176" t="s">
        <v>124</v>
      </c>
      <c r="F46" s="78"/>
      <c r="G46" s="177">
        <v>3007</v>
      </c>
      <c r="H46" s="79">
        <f>174.4</f>
        <v>174.4</v>
      </c>
      <c r="I46" s="177">
        <v>2832.6</v>
      </c>
      <c r="J46" s="14"/>
      <c r="K46" s="171">
        <f>(H46+J46)/G46</f>
        <v>5.7998004655803126E-2</v>
      </c>
      <c r="L46" s="85">
        <v>0.1</v>
      </c>
      <c r="M46" s="13"/>
      <c r="N46" s="81"/>
      <c r="O46" s="28"/>
      <c r="P46" s="30"/>
    </row>
    <row r="47" spans="1:16" ht="34.5" customHeight="1">
      <c r="A47" s="120">
        <f t="shared" si="2"/>
        <v>29</v>
      </c>
      <c r="B47" s="133" t="s">
        <v>126</v>
      </c>
      <c r="C47" s="174" t="s">
        <v>123</v>
      </c>
      <c r="D47" s="175" t="s">
        <v>110</v>
      </c>
      <c r="E47" s="176" t="s">
        <v>124</v>
      </c>
      <c r="F47" s="78"/>
      <c r="G47" s="177">
        <v>4086.1</v>
      </c>
      <c r="H47" s="79">
        <f>1365</f>
        <v>1365</v>
      </c>
      <c r="I47" s="177">
        <v>2721.1</v>
      </c>
      <c r="J47" s="14"/>
      <c r="K47" s="171">
        <f>(H47+J47)/G47</f>
        <v>0.33405937201732705</v>
      </c>
      <c r="L47" s="85">
        <v>0</v>
      </c>
      <c r="M47" s="13"/>
      <c r="N47" s="81" t="s">
        <v>135</v>
      </c>
      <c r="O47" s="28"/>
      <c r="P47" s="30"/>
    </row>
    <row r="48" spans="1:16" ht="39" customHeight="1">
      <c r="A48" s="134"/>
      <c r="B48" s="119" t="s">
        <v>53</v>
      </c>
      <c r="C48" s="91"/>
      <c r="D48" s="91"/>
      <c r="E48" s="91"/>
      <c r="F48" s="92"/>
      <c r="G48" s="93"/>
      <c r="H48" s="92"/>
      <c r="I48" s="94"/>
      <c r="J48" s="92"/>
      <c r="K48" s="92"/>
      <c r="L48" s="95"/>
      <c r="M48" s="95"/>
      <c r="N48" s="91"/>
      <c r="O48" s="28"/>
      <c r="P48" s="30"/>
    </row>
    <row r="49" spans="1:16" ht="74.25" customHeight="1">
      <c r="A49" s="127">
        <v>30</v>
      </c>
      <c r="B49" s="96" t="s">
        <v>137</v>
      </c>
      <c r="C49" s="97" t="s">
        <v>16</v>
      </c>
      <c r="D49" s="77" t="s">
        <v>138</v>
      </c>
      <c r="E49" s="97" t="s">
        <v>139</v>
      </c>
      <c r="F49" s="79"/>
      <c r="G49" s="14">
        <v>7562.8</v>
      </c>
      <c r="H49" s="79">
        <f>52.8+499.98+7</f>
        <v>559.78</v>
      </c>
      <c r="I49" s="14">
        <v>7003</v>
      </c>
      <c r="J49" s="79">
        <f>385.59</f>
        <v>385.59</v>
      </c>
      <c r="K49" s="85">
        <f>(H49+J49)/G49</f>
        <v>0.12500264452319246</v>
      </c>
      <c r="L49" s="85">
        <v>0.5</v>
      </c>
      <c r="M49" s="154"/>
      <c r="N49" s="154"/>
      <c r="O49" s="28"/>
      <c r="P49" s="30"/>
    </row>
    <row r="50" spans="1:16" ht="133.5" customHeight="1">
      <c r="A50" s="127">
        <v>31</v>
      </c>
      <c r="B50" s="96" t="s">
        <v>71</v>
      </c>
      <c r="C50" s="97" t="s">
        <v>29</v>
      </c>
      <c r="D50" s="77" t="s">
        <v>72</v>
      </c>
      <c r="E50" s="97" t="s">
        <v>52</v>
      </c>
      <c r="F50" s="79"/>
      <c r="G50" s="14">
        <v>2051.3000000000002</v>
      </c>
      <c r="H50" s="79"/>
      <c r="I50" s="14">
        <v>2051.3000000000002</v>
      </c>
      <c r="J50" s="79">
        <v>0</v>
      </c>
      <c r="K50" s="85">
        <f>(H50+J50)/G50</f>
        <v>0</v>
      </c>
      <c r="L50" s="85">
        <v>0</v>
      </c>
      <c r="M50" s="98"/>
      <c r="N50" s="155" t="s">
        <v>145</v>
      </c>
      <c r="O50" s="28"/>
      <c r="P50" s="30"/>
    </row>
    <row r="51" spans="1:16" ht="36.75" customHeight="1">
      <c r="A51" s="127">
        <v>32</v>
      </c>
      <c r="B51" s="96" t="s">
        <v>140</v>
      </c>
      <c r="C51" s="97"/>
      <c r="D51" s="77" t="s">
        <v>141</v>
      </c>
      <c r="E51" s="97" t="s">
        <v>139</v>
      </c>
      <c r="F51" s="79"/>
      <c r="G51" s="14">
        <v>22722.2</v>
      </c>
      <c r="H51" s="153">
        <f>254.4+11993.04+167.9+3504.45+35.23</f>
        <v>15955.02</v>
      </c>
      <c r="I51" s="14">
        <v>6767.1</v>
      </c>
      <c r="J51" s="153">
        <f>466.13</f>
        <v>466.13</v>
      </c>
      <c r="K51" s="85">
        <f>(H51+J51)/G51</f>
        <v>0.72269190483315882</v>
      </c>
      <c r="L51" s="85">
        <v>0.9</v>
      </c>
      <c r="M51" s="154"/>
      <c r="N51" s="154"/>
      <c r="O51" s="28"/>
      <c r="P51" s="30"/>
    </row>
    <row r="52" spans="1:16" ht="33.75" customHeight="1">
      <c r="A52" s="127">
        <v>33</v>
      </c>
      <c r="B52" s="157" t="s">
        <v>54</v>
      </c>
      <c r="C52" s="97" t="s">
        <v>55</v>
      </c>
      <c r="D52" s="77" t="s">
        <v>56</v>
      </c>
      <c r="E52" s="97" t="s">
        <v>52</v>
      </c>
      <c r="F52" s="79"/>
      <c r="G52" s="14">
        <v>1908.01</v>
      </c>
      <c r="H52" s="79"/>
      <c r="I52" s="14">
        <v>1908.01</v>
      </c>
      <c r="J52" s="79">
        <v>0</v>
      </c>
      <c r="K52" s="85">
        <f>(H52+J52)/G52</f>
        <v>0</v>
      </c>
      <c r="L52" s="85">
        <v>0</v>
      </c>
      <c r="M52" s="158" t="s">
        <v>25</v>
      </c>
      <c r="N52" s="156" t="s">
        <v>57</v>
      </c>
      <c r="O52" s="28"/>
      <c r="P52" s="30"/>
    </row>
    <row r="53" spans="1:16" ht="39" customHeight="1">
      <c r="A53" s="127">
        <v>34</v>
      </c>
      <c r="B53" s="96" t="s">
        <v>142</v>
      </c>
      <c r="C53" s="97" t="s">
        <v>143</v>
      </c>
      <c r="D53" s="77" t="s">
        <v>144</v>
      </c>
      <c r="E53" s="97" t="s">
        <v>139</v>
      </c>
      <c r="F53" s="79"/>
      <c r="G53" s="14">
        <v>28941.8</v>
      </c>
      <c r="H53" s="79">
        <f>15396.91+206.69</f>
        <v>15603.6</v>
      </c>
      <c r="I53" s="14">
        <v>13338.2</v>
      </c>
      <c r="J53" s="79">
        <v>0</v>
      </c>
      <c r="K53" s="85">
        <f>(H53+J53)/G53</f>
        <v>0.5391371649309995</v>
      </c>
      <c r="L53" s="85">
        <v>0.7</v>
      </c>
      <c r="M53" s="154"/>
      <c r="N53" s="154"/>
      <c r="O53" s="28"/>
      <c r="P53" s="30"/>
    </row>
    <row r="54" spans="1:16" ht="8.25" customHeight="1">
      <c r="A54" s="135"/>
      <c r="B54" s="136"/>
      <c r="C54" s="38"/>
      <c r="D54" s="37"/>
      <c r="E54" s="38"/>
      <c r="F54" s="40"/>
      <c r="G54" s="39"/>
      <c r="H54" s="40"/>
      <c r="I54" s="39"/>
      <c r="J54" s="40"/>
      <c r="K54" s="36"/>
      <c r="L54" s="36"/>
      <c r="M54" s="31"/>
      <c r="N54" s="137"/>
      <c r="O54" s="28"/>
      <c r="P54" s="30"/>
    </row>
    <row r="55" spans="1:16" ht="6.75" customHeight="1">
      <c r="A55" s="135"/>
      <c r="B55" s="136"/>
      <c r="C55" s="38"/>
      <c r="D55" s="37"/>
      <c r="E55" s="38"/>
      <c r="F55" s="40"/>
      <c r="G55" s="39"/>
      <c r="H55" s="40"/>
      <c r="I55" s="39"/>
      <c r="J55" s="40"/>
      <c r="K55" s="36"/>
      <c r="L55" s="36"/>
      <c r="M55" s="31"/>
      <c r="N55" s="137"/>
      <c r="O55" s="28"/>
      <c r="P55" s="30"/>
    </row>
    <row r="56" spans="1:16" ht="6.75" customHeight="1">
      <c r="A56" s="135"/>
      <c r="B56" s="136"/>
      <c r="C56" s="38"/>
      <c r="D56" s="37"/>
      <c r="E56" s="38"/>
      <c r="F56" s="40"/>
      <c r="G56" s="39"/>
      <c r="H56" s="40"/>
      <c r="I56" s="39"/>
      <c r="J56" s="40"/>
      <c r="K56" s="36"/>
      <c r="L56" s="36"/>
      <c r="M56" s="31"/>
      <c r="N56" s="137"/>
      <c r="O56" s="28"/>
      <c r="P56" s="30"/>
    </row>
    <row r="57" spans="1:16" ht="17.399999999999999">
      <c r="B57" s="219" t="s">
        <v>59</v>
      </c>
      <c r="C57" s="220"/>
      <c r="D57" s="220"/>
      <c r="E57" s="220"/>
      <c r="F57" s="29"/>
      <c r="G57" s="39"/>
      <c r="H57" s="34"/>
      <c r="I57" s="39"/>
      <c r="J57" s="39"/>
      <c r="K57" s="35"/>
      <c r="L57" s="35"/>
      <c r="M57" s="35"/>
      <c r="N57" s="36"/>
      <c r="O57" s="28"/>
      <c r="P57" s="30"/>
    </row>
    <row r="58" spans="1:16">
      <c r="B58" s="33"/>
      <c r="C58" s="73"/>
      <c r="D58" s="29"/>
      <c r="E58" s="29"/>
      <c r="F58" s="29"/>
      <c r="G58" s="39"/>
      <c r="H58" s="34"/>
      <c r="I58" s="39"/>
      <c r="J58" s="39"/>
      <c r="K58" s="35"/>
      <c r="L58" s="35"/>
      <c r="M58" s="35"/>
      <c r="N58" s="36"/>
      <c r="O58" s="28"/>
      <c r="P58" s="30"/>
    </row>
    <row r="59" spans="1:16" ht="17.399999999999999">
      <c r="B59" s="219" t="s">
        <v>146</v>
      </c>
      <c r="C59" s="220"/>
      <c r="D59" s="220"/>
      <c r="E59" s="220"/>
      <c r="F59" s="29"/>
      <c r="G59" s="39"/>
      <c r="H59" s="34"/>
      <c r="I59" s="39"/>
      <c r="J59" s="39"/>
      <c r="K59" s="35"/>
      <c r="L59" s="35"/>
      <c r="M59" s="35"/>
      <c r="N59" s="36"/>
      <c r="O59" s="28"/>
      <c r="P59" s="30"/>
    </row>
    <row r="60" spans="1:16">
      <c r="B60" s="33"/>
      <c r="C60" s="73"/>
      <c r="D60" s="29"/>
      <c r="E60" s="29"/>
      <c r="F60" s="29"/>
      <c r="G60" s="39"/>
      <c r="H60" s="34"/>
      <c r="I60" s="39"/>
      <c r="J60" s="39"/>
      <c r="K60" s="35"/>
      <c r="L60" s="35"/>
      <c r="M60" s="35"/>
      <c r="N60" s="36"/>
      <c r="O60" s="28"/>
      <c r="P60" s="30"/>
    </row>
    <row r="61" spans="1:16" ht="32.25" customHeight="1">
      <c r="A61" s="103"/>
      <c r="B61" s="217" t="s">
        <v>60</v>
      </c>
      <c r="C61" s="221"/>
      <c r="D61" s="221"/>
      <c r="E61" s="221"/>
      <c r="F61" s="138">
        <v>34</v>
      </c>
      <c r="G61" s="39"/>
      <c r="H61" s="34"/>
      <c r="I61" s="39"/>
      <c r="J61" s="39"/>
      <c r="K61" s="35"/>
      <c r="L61" s="35"/>
      <c r="M61" s="35"/>
      <c r="N61" s="36"/>
      <c r="O61" s="28"/>
      <c r="P61" s="30"/>
    </row>
    <row r="62" spans="1:16" ht="18" customHeight="1">
      <c r="A62" s="103"/>
      <c r="B62" s="217" t="s">
        <v>58</v>
      </c>
      <c r="C62" s="221"/>
      <c r="D62" s="221"/>
      <c r="E62" s="221"/>
      <c r="F62" s="138">
        <v>0</v>
      </c>
      <c r="G62" s="39"/>
      <c r="H62" s="34"/>
      <c r="I62" s="39"/>
      <c r="J62" s="39"/>
      <c r="K62" s="35"/>
      <c r="L62" s="35"/>
      <c r="M62" s="35"/>
      <c r="N62" s="36"/>
      <c r="O62" s="28"/>
      <c r="P62" s="30"/>
    </row>
    <row r="63" spans="1:16" ht="30" customHeight="1">
      <c r="A63" s="103"/>
      <c r="B63" s="217" t="s">
        <v>61</v>
      </c>
      <c r="C63" s="218"/>
      <c r="D63" s="218"/>
      <c r="E63" s="218"/>
      <c r="F63" s="138">
        <v>7</v>
      </c>
      <c r="G63" s="39"/>
      <c r="H63" s="34"/>
      <c r="I63" s="39"/>
      <c r="J63" s="39"/>
      <c r="K63" s="35"/>
      <c r="L63" s="35"/>
      <c r="M63" s="35"/>
      <c r="N63" s="36"/>
      <c r="O63" s="28"/>
      <c r="P63" s="30"/>
    </row>
    <row r="64" spans="1:16" ht="30.75" customHeight="1">
      <c r="A64" s="159"/>
      <c r="B64" s="217" t="s">
        <v>62</v>
      </c>
      <c r="C64" s="218"/>
      <c r="D64" s="218"/>
      <c r="E64" s="218"/>
      <c r="F64" s="138">
        <v>2</v>
      </c>
      <c r="G64" s="39"/>
      <c r="H64" s="34"/>
      <c r="I64" s="39"/>
      <c r="J64" s="39"/>
      <c r="K64" s="35"/>
      <c r="L64" s="35"/>
      <c r="M64" s="35"/>
      <c r="N64" s="36"/>
      <c r="O64" s="28"/>
      <c r="P64" s="30"/>
    </row>
    <row r="65" spans="1:17" ht="19.5" customHeight="1">
      <c r="A65" s="103"/>
      <c r="B65" s="217" t="s">
        <v>63</v>
      </c>
      <c r="C65" s="218"/>
      <c r="D65" s="218"/>
      <c r="E65" s="218"/>
      <c r="F65" s="138">
        <v>7</v>
      </c>
      <c r="G65" s="39"/>
      <c r="H65" s="34"/>
      <c r="I65" s="39"/>
      <c r="J65" s="39"/>
      <c r="K65" s="35"/>
      <c r="L65" s="35"/>
      <c r="M65" s="35"/>
      <c r="N65" s="36"/>
      <c r="O65" s="28"/>
      <c r="P65" s="30"/>
    </row>
    <row r="66" spans="1:17" ht="1.5" customHeight="1">
      <c r="B66" s="226"/>
      <c r="C66" s="226"/>
      <c r="D66" s="226"/>
      <c r="E66" s="226"/>
      <c r="F66" s="226"/>
      <c r="G66" s="226"/>
      <c r="H66" s="226"/>
      <c r="I66" s="226"/>
      <c r="J66" s="226"/>
      <c r="K66" s="226"/>
      <c r="L66" s="226"/>
      <c r="M66" s="226"/>
      <c r="N66" s="226"/>
      <c r="O66" s="226"/>
      <c r="P66" s="226"/>
    </row>
    <row r="67" spans="1:17" ht="43.5" hidden="1" customHeight="1">
      <c r="B67" s="41"/>
      <c r="C67" s="74"/>
      <c r="D67" s="55"/>
      <c r="E67" s="55"/>
      <c r="F67" s="15"/>
      <c r="G67" s="89"/>
      <c r="H67" s="56"/>
      <c r="I67" s="68"/>
      <c r="J67" s="68"/>
      <c r="K67" s="83"/>
      <c r="L67" s="83"/>
      <c r="M67" s="83"/>
      <c r="N67" s="16"/>
      <c r="O67" s="16"/>
      <c r="P67" s="103"/>
    </row>
    <row r="68" spans="1:17" ht="39.75" hidden="1" customHeight="1">
      <c r="B68" s="227"/>
      <c r="C68" s="228"/>
      <c r="D68" s="228"/>
      <c r="E68" s="60"/>
      <c r="F68" s="42"/>
      <c r="G68" s="89"/>
      <c r="H68" s="56"/>
      <c r="I68" s="68"/>
      <c r="J68" s="68"/>
      <c r="K68" s="83"/>
      <c r="L68" s="83"/>
      <c r="M68" s="83"/>
      <c r="N68" s="16"/>
      <c r="O68" s="16"/>
      <c r="P68" s="103"/>
    </row>
    <row r="69" spans="1:17" s="19" customFormat="1" ht="36" customHeight="1">
      <c r="B69" s="229" t="s">
        <v>41</v>
      </c>
      <c r="C69" s="230"/>
      <c r="D69" s="230"/>
      <c r="E69" s="230"/>
      <c r="F69" s="230"/>
      <c r="G69" s="230"/>
      <c r="H69" s="58"/>
      <c r="I69" s="70"/>
      <c r="J69" s="70"/>
      <c r="K69" s="58"/>
      <c r="L69" s="58"/>
      <c r="M69" s="19" t="s">
        <v>42</v>
      </c>
    </row>
    <row r="70" spans="1:17" s="19" customFormat="1" ht="18.75" customHeight="1">
      <c r="B70" s="169"/>
      <c r="C70" s="170"/>
      <c r="D70" s="170"/>
      <c r="E70" s="170"/>
      <c r="F70" s="170"/>
      <c r="G70" s="170"/>
      <c r="H70" s="58"/>
      <c r="I70" s="70"/>
      <c r="J70" s="70"/>
      <c r="K70" s="58"/>
      <c r="L70" s="58"/>
    </row>
    <row r="71" spans="1:17" ht="17.25" customHeight="1">
      <c r="B71" s="168" t="s">
        <v>27</v>
      </c>
      <c r="C71" s="168"/>
      <c r="D71" s="99"/>
      <c r="E71" s="56"/>
      <c r="F71" s="42"/>
      <c r="G71" s="89"/>
      <c r="H71" s="56"/>
      <c r="I71" s="68"/>
      <c r="J71" s="68"/>
      <c r="K71" s="83"/>
      <c r="L71" s="83"/>
      <c r="M71" s="83"/>
      <c r="N71" s="16"/>
      <c r="O71" s="16"/>
      <c r="P71" s="103"/>
    </row>
    <row r="72" spans="1:17" s="17" customFormat="1" ht="63" hidden="1" customHeight="1">
      <c r="A72" s="103"/>
      <c r="B72" s="168" t="s">
        <v>28</v>
      </c>
      <c r="C72" s="168"/>
      <c r="D72" s="99"/>
      <c r="E72" s="56"/>
      <c r="F72" s="43"/>
      <c r="G72" s="90"/>
      <c r="H72" s="56"/>
      <c r="I72" s="68"/>
      <c r="J72" s="68"/>
      <c r="K72" s="83"/>
      <c r="L72" s="83"/>
      <c r="M72" s="83"/>
      <c r="N72" s="16"/>
      <c r="O72" s="16"/>
      <c r="P72" s="103"/>
      <c r="Q72" s="23"/>
    </row>
    <row r="73" spans="1:17" s="17" customFormat="1" ht="75.75" hidden="1" customHeight="1">
      <c r="A73" s="103"/>
      <c r="B73" s="84"/>
      <c r="C73" s="84"/>
      <c r="D73" s="100"/>
      <c r="E73" s="61"/>
      <c r="F73" s="43"/>
      <c r="G73" s="90"/>
      <c r="H73" s="56"/>
      <c r="I73" s="68"/>
      <c r="J73" s="68"/>
      <c r="K73" s="83"/>
      <c r="L73" s="83"/>
      <c r="M73" s="83"/>
      <c r="N73" s="16"/>
      <c r="O73" s="16"/>
      <c r="P73" s="103"/>
      <c r="Q73" s="23"/>
    </row>
    <row r="74" spans="1:17" s="17" customFormat="1" ht="62.25" hidden="1" customHeight="1">
      <c r="A74" s="103"/>
      <c r="B74" s="84"/>
      <c r="C74" s="84"/>
      <c r="D74" s="100"/>
      <c r="E74" s="61"/>
      <c r="F74" s="43"/>
      <c r="G74" s="90"/>
      <c r="H74" s="56"/>
      <c r="I74" s="68"/>
      <c r="J74" s="68"/>
      <c r="K74" s="83"/>
      <c r="L74" s="83"/>
      <c r="M74" s="83"/>
      <c r="N74" s="16"/>
      <c r="O74" s="16"/>
      <c r="P74" s="103"/>
      <c r="Q74" s="23"/>
    </row>
    <row r="75" spans="1:17" s="17" customFormat="1" ht="46.5" hidden="1" customHeight="1">
      <c r="A75" s="103"/>
      <c r="B75" s="84"/>
      <c r="C75" s="84"/>
      <c r="D75" s="100"/>
      <c r="E75" s="61"/>
      <c r="F75" s="43"/>
      <c r="G75" s="90"/>
      <c r="H75" s="56"/>
      <c r="I75" s="68"/>
      <c r="J75" s="68"/>
      <c r="K75" s="83"/>
      <c r="L75" s="83"/>
      <c r="M75" s="83"/>
      <c r="N75" s="16"/>
      <c r="O75" s="16"/>
      <c r="P75" s="103"/>
      <c r="Q75" s="23"/>
    </row>
    <row r="76" spans="1:17" ht="13.5" customHeight="1">
      <c r="B76" s="224" t="s">
        <v>64</v>
      </c>
      <c r="C76" s="225"/>
      <c r="D76" s="225"/>
      <c r="E76" s="60"/>
      <c r="F76" s="42"/>
      <c r="G76" s="89"/>
      <c r="H76" s="56"/>
      <c r="I76" s="68"/>
      <c r="J76" s="68"/>
      <c r="K76" s="83"/>
      <c r="L76" s="83"/>
      <c r="M76" s="83"/>
      <c r="N76" s="16"/>
      <c r="O76" s="16"/>
      <c r="P76" s="103"/>
    </row>
    <row r="77" spans="1:17" ht="36.75" customHeight="1">
      <c r="B77" s="224"/>
      <c r="C77" s="225"/>
      <c r="D77" s="225"/>
      <c r="E77" s="60"/>
      <c r="F77" s="42"/>
      <c r="G77" s="89"/>
      <c r="H77" s="56"/>
      <c r="I77" s="68"/>
      <c r="J77" s="68"/>
      <c r="K77" s="83"/>
      <c r="L77" s="83"/>
      <c r="M77" s="83"/>
      <c r="N77" s="16"/>
      <c r="O77" s="16"/>
      <c r="P77" s="103"/>
    </row>
    <row r="78" spans="1:17" ht="14.25" customHeight="1">
      <c r="B78" s="103"/>
      <c r="C78" s="75"/>
      <c r="D78" s="56"/>
      <c r="E78" s="56"/>
      <c r="F78" s="103"/>
      <c r="G78" s="69"/>
      <c r="H78" s="56"/>
      <c r="I78" s="69"/>
      <c r="J78" s="69"/>
      <c r="K78" s="56"/>
      <c r="L78" s="56"/>
      <c r="M78" s="56"/>
      <c r="N78" s="103"/>
      <c r="O78" s="103"/>
      <c r="P78" s="103"/>
    </row>
    <row r="79" spans="1:17" hidden="1"/>
    <row r="80" spans="1:17">
      <c r="B80" s="18"/>
      <c r="D80" s="57"/>
      <c r="E80" s="3"/>
      <c r="G80" s="3"/>
      <c r="H80" s="3"/>
      <c r="I80" s="3"/>
      <c r="J80" s="3"/>
      <c r="K80" s="3"/>
      <c r="L80" s="3"/>
      <c r="M80" s="3"/>
    </row>
    <row r="81" spans="2:13">
      <c r="B81" s="18"/>
      <c r="D81" s="57"/>
      <c r="E81" s="3"/>
      <c r="G81" s="3"/>
      <c r="H81" s="3"/>
      <c r="I81" s="3"/>
      <c r="J81" s="3"/>
      <c r="K81" s="3"/>
      <c r="L81" s="3"/>
      <c r="M81" s="3"/>
    </row>
  </sheetData>
  <mergeCells count="38">
    <mergeCell ref="B77:D77"/>
    <mergeCell ref="B64:E64"/>
    <mergeCell ref="B65:E65"/>
    <mergeCell ref="B66:P66"/>
    <mergeCell ref="B68:D68"/>
    <mergeCell ref="B69:G69"/>
    <mergeCell ref="B76:D76"/>
    <mergeCell ref="M44:M45"/>
    <mergeCell ref="B57:E57"/>
    <mergeCell ref="B59:E59"/>
    <mergeCell ref="B61:E61"/>
    <mergeCell ref="B62:E62"/>
    <mergeCell ref="I44:I45"/>
    <mergeCell ref="K44:K45"/>
    <mergeCell ref="B63:E63"/>
    <mergeCell ref="C44:C45"/>
    <mergeCell ref="D44:D45"/>
    <mergeCell ref="E44:E45"/>
    <mergeCell ref="G44:G45"/>
    <mergeCell ref="G23:G24"/>
    <mergeCell ref="I23:I24"/>
    <mergeCell ref="K23:K24"/>
    <mergeCell ref="M23:M24"/>
    <mergeCell ref="N23:N24"/>
    <mergeCell ref="C37:C38"/>
    <mergeCell ref="D37:D38"/>
    <mergeCell ref="E37:E38"/>
    <mergeCell ref="G37:G38"/>
    <mergeCell ref="I37:I38"/>
    <mergeCell ref="A1:N1"/>
    <mergeCell ref="C12:C13"/>
    <mergeCell ref="D12:D13"/>
    <mergeCell ref="E12:E13"/>
    <mergeCell ref="F12:F13"/>
    <mergeCell ref="G12:G13"/>
    <mergeCell ref="I12:I13"/>
    <mergeCell ref="K12:K13"/>
    <mergeCell ref="N12:N13"/>
  </mergeCells>
  <pageMargins left="0.70866141732283472" right="0.70866141732283472" top="0.39370078740157483" bottom="0.39370078740157483" header="0.31496062992125984" footer="0.31496062992125984"/>
  <pageSetup paperSize="9" scale="95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81"/>
  <sheetViews>
    <sheetView zoomScale="96" zoomScaleNormal="96" workbookViewId="0">
      <pane ySplit="3228" topLeftCell="A47" activePane="bottomLeft"/>
      <selection pane="bottomLeft" activeCell="H49" sqref="H49"/>
    </sheetView>
  </sheetViews>
  <sheetFormatPr defaultColWidth="9.109375" defaultRowHeight="13.8"/>
  <cols>
    <col min="1" max="1" width="3.6640625" style="3" customWidth="1"/>
    <col min="2" max="2" width="18.6640625" style="3" customWidth="1"/>
    <col min="3" max="3" width="7.5546875" style="18" customWidth="1"/>
    <col min="4" max="4" width="9.44140625" style="51" customWidth="1"/>
    <col min="5" max="5" width="9.33203125" style="51" customWidth="1"/>
    <col min="6" max="6" width="8.109375" style="3" customWidth="1"/>
    <col min="7" max="7" width="9.5546875" style="63" customWidth="1"/>
    <col min="8" max="8" width="10.5546875" style="51" customWidth="1"/>
    <col min="9" max="9" width="9.33203125" style="63" customWidth="1"/>
    <col min="10" max="10" width="10.44140625" style="63" customWidth="1"/>
    <col min="11" max="11" width="8.88671875" style="51" customWidth="1"/>
    <col min="12" max="12" width="7.44140625" style="51" customWidth="1"/>
    <col min="13" max="13" width="7.88671875" style="51" customWidth="1"/>
    <col min="14" max="14" width="8.6640625" style="3" customWidth="1"/>
    <col min="15" max="15" width="9.44140625" style="3" customWidth="1"/>
    <col min="16" max="16" width="10" style="3" customWidth="1"/>
    <col min="17" max="16384" width="9.109375" style="3"/>
  </cols>
  <sheetData>
    <row r="1" spans="1:17" s="1" customFormat="1" ht="38.25" customHeight="1">
      <c r="A1" s="194" t="s">
        <v>132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20"/>
      <c r="P1" s="20"/>
    </row>
    <row r="2" spans="1:17" ht="114.75" customHeight="1">
      <c r="A2" s="6" t="s">
        <v>33</v>
      </c>
      <c r="B2" s="2" t="s">
        <v>14</v>
      </c>
      <c r="C2" s="2" t="s">
        <v>34</v>
      </c>
      <c r="D2" s="2" t="s">
        <v>22</v>
      </c>
      <c r="E2" s="2" t="s">
        <v>0</v>
      </c>
      <c r="F2" s="2" t="s">
        <v>35</v>
      </c>
      <c r="G2" s="47" t="s">
        <v>36</v>
      </c>
      <c r="H2" s="2" t="s">
        <v>37</v>
      </c>
      <c r="I2" s="47" t="s">
        <v>23</v>
      </c>
      <c r="J2" s="47" t="s">
        <v>38</v>
      </c>
      <c r="K2" s="2" t="s">
        <v>19</v>
      </c>
      <c r="L2" s="2" t="s">
        <v>1</v>
      </c>
      <c r="M2" s="2" t="s">
        <v>39</v>
      </c>
      <c r="N2" s="2" t="s">
        <v>21</v>
      </c>
    </row>
    <row r="3" spans="1:17" s="103" customFormat="1" ht="1.5" hidden="1" customHeight="1">
      <c r="A3" s="17"/>
      <c r="B3" s="2" t="s">
        <v>14</v>
      </c>
      <c r="C3" s="2" t="s">
        <v>13</v>
      </c>
      <c r="D3" s="2" t="s">
        <v>22</v>
      </c>
      <c r="E3" s="2" t="s">
        <v>0</v>
      </c>
      <c r="F3" s="2"/>
      <c r="G3" s="47" t="s">
        <v>30</v>
      </c>
      <c r="H3" s="2" t="s">
        <v>31</v>
      </c>
      <c r="I3" s="47" t="s">
        <v>23</v>
      </c>
      <c r="J3" s="47"/>
      <c r="K3" s="2" t="s">
        <v>19</v>
      </c>
      <c r="L3" s="2"/>
      <c r="M3" s="2"/>
      <c r="N3" s="2" t="s">
        <v>1</v>
      </c>
      <c r="O3" s="102" t="s">
        <v>20</v>
      </c>
      <c r="P3" s="102" t="s">
        <v>21</v>
      </c>
    </row>
    <row r="4" spans="1:17" ht="14.25" customHeight="1">
      <c r="A4" s="128">
        <v>1</v>
      </c>
      <c r="B4" s="129">
        <v>2</v>
      </c>
      <c r="C4" s="129">
        <v>3</v>
      </c>
      <c r="D4" s="130">
        <v>4</v>
      </c>
      <c r="E4" s="130">
        <v>5</v>
      </c>
      <c r="F4" s="131">
        <v>6</v>
      </c>
      <c r="G4" s="132">
        <v>7</v>
      </c>
      <c r="H4" s="130">
        <v>8</v>
      </c>
      <c r="I4" s="132">
        <v>9</v>
      </c>
      <c r="J4" s="132">
        <v>10</v>
      </c>
      <c r="K4" s="130">
        <v>11</v>
      </c>
      <c r="L4" s="130">
        <v>12</v>
      </c>
      <c r="M4" s="130">
        <v>13</v>
      </c>
      <c r="N4" s="131">
        <v>14</v>
      </c>
      <c r="O4" s="24"/>
      <c r="P4" s="24"/>
    </row>
    <row r="5" spans="1:17" ht="17.25" customHeight="1">
      <c r="A5" s="17"/>
      <c r="B5" s="4" t="s">
        <v>15</v>
      </c>
      <c r="C5" s="72"/>
      <c r="D5" s="52"/>
      <c r="E5" s="49"/>
      <c r="F5" s="5"/>
      <c r="G5" s="64"/>
      <c r="H5" s="49"/>
      <c r="I5" s="64"/>
      <c r="J5" s="64"/>
      <c r="K5" s="49"/>
      <c r="L5" s="49"/>
      <c r="M5" s="49"/>
      <c r="N5" s="5"/>
      <c r="O5" s="24"/>
      <c r="P5" s="24"/>
    </row>
    <row r="6" spans="1:17" ht="39.75" customHeight="1">
      <c r="A6" s="104"/>
      <c r="B6" s="105" t="s">
        <v>12</v>
      </c>
      <c r="C6" s="113"/>
      <c r="D6" s="114"/>
      <c r="E6" s="114"/>
      <c r="F6" s="115"/>
      <c r="G6" s="109"/>
      <c r="H6" s="116"/>
      <c r="I6" s="111"/>
      <c r="J6" s="111"/>
      <c r="K6" s="111"/>
      <c r="L6" s="111"/>
      <c r="M6" s="111"/>
      <c r="N6" s="112"/>
      <c r="O6" s="16"/>
      <c r="P6" s="103"/>
    </row>
    <row r="7" spans="1:17" ht="1.5" hidden="1" customHeight="1">
      <c r="A7" s="120">
        <v>2</v>
      </c>
      <c r="B7" s="122"/>
      <c r="C7" s="122"/>
      <c r="D7" s="123"/>
      <c r="E7" s="123"/>
      <c r="F7" s="122"/>
      <c r="G7" s="124"/>
      <c r="H7" s="123"/>
      <c r="I7" s="124"/>
      <c r="J7" s="124"/>
      <c r="K7" s="123"/>
      <c r="L7" s="123"/>
      <c r="M7" s="123"/>
    </row>
    <row r="8" spans="1:17" s="103" customFormat="1" ht="52.5" customHeight="1">
      <c r="A8" s="120">
        <v>1</v>
      </c>
      <c r="B8" s="11" t="s">
        <v>46</v>
      </c>
      <c r="C8" s="11" t="s">
        <v>40</v>
      </c>
      <c r="D8" s="145" t="s">
        <v>47</v>
      </c>
      <c r="E8" s="59" t="s">
        <v>43</v>
      </c>
      <c r="F8" s="46"/>
      <c r="G8" s="121">
        <v>3984.1</v>
      </c>
      <c r="H8" s="144">
        <f>98.75+70.18+0.98</f>
        <v>169.91</v>
      </c>
      <c r="I8" s="144">
        <v>3814.2</v>
      </c>
      <c r="J8" s="144"/>
      <c r="K8" s="13">
        <f>(H8+J8)/G8</f>
        <v>4.2647021912100597E-2</v>
      </c>
      <c r="L8" s="125">
        <v>0.1</v>
      </c>
      <c r="M8" s="125" t="s">
        <v>25</v>
      </c>
      <c r="N8" s="76" t="s">
        <v>57</v>
      </c>
      <c r="O8" s="25"/>
      <c r="P8" s="84"/>
    </row>
    <row r="9" spans="1:17" ht="40.5" customHeight="1">
      <c r="A9" s="104"/>
      <c r="B9" s="105" t="s">
        <v>17</v>
      </c>
      <c r="C9" s="106"/>
      <c r="D9" s="107"/>
      <c r="E9" s="107"/>
      <c r="F9" s="108"/>
      <c r="G9" s="109"/>
      <c r="H9" s="110"/>
      <c r="I9" s="111"/>
      <c r="J9" s="111"/>
      <c r="K9" s="111"/>
      <c r="L9" s="111"/>
      <c r="M9" s="111"/>
      <c r="N9" s="112"/>
      <c r="O9" s="16"/>
      <c r="P9" s="103"/>
    </row>
    <row r="10" spans="1:17" s="17" customFormat="1" ht="54.75" hidden="1" customHeight="1">
      <c r="B10" s="8" t="s">
        <v>4</v>
      </c>
      <c r="C10" s="9" t="s">
        <v>4</v>
      </c>
      <c r="D10" s="53" t="s">
        <v>3</v>
      </c>
      <c r="E10" s="53" t="s">
        <v>3</v>
      </c>
      <c r="F10" s="6"/>
      <c r="G10" s="87">
        <v>37883.4</v>
      </c>
      <c r="H10" s="62">
        <f>232.8</f>
        <v>232.8</v>
      </c>
      <c r="I10" s="65">
        <v>0</v>
      </c>
      <c r="J10" s="65"/>
      <c r="K10" s="32" t="e">
        <f>(#REF!+#REF!)/#REF!</f>
        <v>#REF!</v>
      </c>
      <c r="L10" s="71"/>
      <c r="M10" s="71"/>
      <c r="N10" s="21">
        <v>0</v>
      </c>
      <c r="O10" s="16"/>
      <c r="P10" s="103"/>
      <c r="Q10" s="23"/>
    </row>
    <row r="11" spans="1:17" s="17" customFormat="1" ht="51.75" hidden="1" customHeight="1">
      <c r="B11" s="8" t="s">
        <v>6</v>
      </c>
      <c r="C11" s="9" t="s">
        <v>6</v>
      </c>
      <c r="D11" s="53" t="s">
        <v>7</v>
      </c>
      <c r="E11" s="53" t="s">
        <v>7</v>
      </c>
      <c r="F11" s="6"/>
      <c r="G11" s="87">
        <v>28453.7</v>
      </c>
      <c r="H11" s="62">
        <f>793.75+16516.03</f>
        <v>17309.78</v>
      </c>
      <c r="I11" s="65">
        <v>0.9</v>
      </c>
      <c r="J11" s="65"/>
      <c r="K11" s="32" t="e">
        <f>(#REF!+#REF!)/#REF!</f>
        <v>#REF!</v>
      </c>
      <c r="L11" s="71"/>
      <c r="M11" s="71"/>
      <c r="N11" s="21">
        <v>0.9</v>
      </c>
      <c r="O11" s="16"/>
      <c r="P11" s="103"/>
      <c r="Q11" s="23"/>
    </row>
    <row r="12" spans="1:17" ht="39.75" customHeight="1">
      <c r="A12" s="17">
        <v>2</v>
      </c>
      <c r="B12" s="8" t="s">
        <v>66</v>
      </c>
      <c r="C12" s="196" t="s">
        <v>45</v>
      </c>
      <c r="D12" s="196" t="s">
        <v>51</v>
      </c>
      <c r="E12" s="198" t="s">
        <v>70</v>
      </c>
      <c r="F12" s="196"/>
      <c r="G12" s="200">
        <v>1995.4</v>
      </c>
      <c r="H12" s="126">
        <f>762.4</f>
        <v>762.4</v>
      </c>
      <c r="I12" s="200" t="s">
        <v>134</v>
      </c>
      <c r="J12" s="144"/>
      <c r="K12" s="202">
        <f>(H12+H13+J12+J13)/G12</f>
        <v>0.51425779292372464</v>
      </c>
      <c r="L12" s="141">
        <v>0.9</v>
      </c>
      <c r="M12" s="141" t="s">
        <v>25</v>
      </c>
      <c r="N12" s="204" t="s">
        <v>50</v>
      </c>
      <c r="O12" s="83"/>
      <c r="P12" s="84"/>
    </row>
    <row r="13" spans="1:17" ht="66" customHeight="1">
      <c r="A13" s="120">
        <v>3</v>
      </c>
      <c r="B13" s="8" t="s">
        <v>73</v>
      </c>
      <c r="C13" s="197"/>
      <c r="D13" s="197"/>
      <c r="E13" s="199"/>
      <c r="F13" s="197"/>
      <c r="G13" s="201"/>
      <c r="H13" s="126">
        <f>263.75</f>
        <v>263.75</v>
      </c>
      <c r="I13" s="201"/>
      <c r="J13" s="144"/>
      <c r="K13" s="203"/>
      <c r="L13" s="141">
        <v>1</v>
      </c>
      <c r="M13" s="141" t="s">
        <v>26</v>
      </c>
      <c r="N13" s="205"/>
      <c r="O13" s="83"/>
      <c r="P13" s="84"/>
    </row>
    <row r="14" spans="1:17" ht="39" customHeight="1">
      <c r="A14" s="120">
        <f>A13+1</f>
        <v>4</v>
      </c>
      <c r="B14" s="8" t="s">
        <v>67</v>
      </c>
      <c r="C14" s="48" t="s">
        <v>45</v>
      </c>
      <c r="D14" s="143" t="s">
        <v>68</v>
      </c>
      <c r="E14" s="145" t="s">
        <v>69</v>
      </c>
      <c r="F14" s="143"/>
      <c r="G14" s="144">
        <v>1690.6</v>
      </c>
      <c r="H14" s="126"/>
      <c r="I14" s="144">
        <v>1690.6</v>
      </c>
      <c r="J14" s="144"/>
      <c r="K14" s="85">
        <v>0</v>
      </c>
      <c r="L14" s="140">
        <v>0.6</v>
      </c>
      <c r="M14" s="141" t="s">
        <v>25</v>
      </c>
      <c r="N14" s="81" t="s">
        <v>50</v>
      </c>
      <c r="O14" s="83"/>
      <c r="P14" s="84"/>
    </row>
    <row r="15" spans="1:17" ht="43.5" customHeight="1">
      <c r="A15" s="120">
        <f t="shared" ref="A15" si="0">A14+1</f>
        <v>5</v>
      </c>
      <c r="B15" s="8" t="s">
        <v>90</v>
      </c>
      <c r="C15" s="48" t="s">
        <v>91</v>
      </c>
      <c r="D15" s="48" t="s">
        <v>127</v>
      </c>
      <c r="E15" s="145" t="s">
        <v>105</v>
      </c>
      <c r="F15" s="143"/>
      <c r="G15" s="144">
        <v>12144.5</v>
      </c>
      <c r="H15" s="126">
        <f>2532.5</f>
        <v>2532.5</v>
      </c>
      <c r="I15" s="144">
        <v>9611.9</v>
      </c>
      <c r="J15" s="144"/>
      <c r="K15" s="13">
        <f>(H15+J15)/G15</f>
        <v>0.20853061056445304</v>
      </c>
      <c r="L15" s="141">
        <v>0.25</v>
      </c>
      <c r="M15" s="141"/>
      <c r="N15" s="142"/>
      <c r="O15" s="83"/>
      <c r="P15" s="84"/>
    </row>
    <row r="16" spans="1:17" ht="36.75" customHeight="1">
      <c r="A16" s="160"/>
      <c r="B16" s="105" t="s">
        <v>11</v>
      </c>
      <c r="C16" s="117"/>
      <c r="D16" s="116"/>
      <c r="E16" s="116"/>
      <c r="F16" s="104"/>
      <c r="G16" s="116"/>
      <c r="H16" s="110"/>
      <c r="I16" s="116"/>
      <c r="J16" s="116"/>
      <c r="K16" s="111"/>
      <c r="L16" s="111"/>
      <c r="M16" s="111"/>
      <c r="N16" s="118"/>
      <c r="O16" s="103"/>
      <c r="P16" s="103"/>
    </row>
    <row r="17" spans="1:16" ht="27" hidden="1" customHeight="1">
      <c r="A17" s="120">
        <v>14</v>
      </c>
      <c r="B17" s="8" t="s">
        <v>2</v>
      </c>
      <c r="C17" s="9" t="s">
        <v>2</v>
      </c>
      <c r="D17" s="49" t="s">
        <v>3</v>
      </c>
      <c r="E17" s="49" t="s">
        <v>3</v>
      </c>
      <c r="F17" s="17"/>
      <c r="G17" s="86">
        <v>67601.3</v>
      </c>
      <c r="H17" s="62">
        <f>9598.11+19.196+134.37+10231.1+3594.134+50.32</f>
        <v>23627.230000000003</v>
      </c>
      <c r="I17" s="65">
        <v>0.7</v>
      </c>
      <c r="J17" s="65"/>
      <c r="K17" s="101">
        <f>(H10+J10)/G10</f>
        <v>6.1451717638860296E-3</v>
      </c>
      <c r="L17" s="32"/>
      <c r="M17" s="32"/>
      <c r="N17" s="7">
        <v>0.7</v>
      </c>
      <c r="O17" s="16"/>
      <c r="P17" s="103"/>
    </row>
    <row r="18" spans="1:16" ht="27" hidden="1" customHeight="1">
      <c r="A18" s="120">
        <v>15</v>
      </c>
      <c r="B18" s="8" t="s">
        <v>10</v>
      </c>
      <c r="C18" s="9" t="s">
        <v>10</v>
      </c>
      <c r="D18" s="53" t="s">
        <v>9</v>
      </c>
      <c r="E18" s="53" t="s">
        <v>9</v>
      </c>
      <c r="F18" s="6"/>
      <c r="G18" s="86">
        <v>48937.9</v>
      </c>
      <c r="H18" s="62">
        <f>332.8</f>
        <v>332.8</v>
      </c>
      <c r="I18" s="65">
        <v>0</v>
      </c>
      <c r="J18" s="65"/>
      <c r="K18" s="101">
        <f>(H11+J11)/G11</f>
        <v>0.60834900206300058</v>
      </c>
      <c r="L18" s="32"/>
      <c r="M18" s="32"/>
      <c r="N18" s="7">
        <v>0</v>
      </c>
      <c r="O18" s="16"/>
      <c r="P18" s="26"/>
    </row>
    <row r="19" spans="1:16" ht="74.25" hidden="1" customHeight="1">
      <c r="A19" s="120">
        <v>16</v>
      </c>
      <c r="B19" s="8" t="s">
        <v>5</v>
      </c>
      <c r="C19" s="9" t="s">
        <v>5</v>
      </c>
      <c r="D19" s="53" t="s">
        <v>8</v>
      </c>
      <c r="E19" s="53" t="s">
        <v>8</v>
      </c>
      <c r="F19" s="6"/>
      <c r="G19" s="86">
        <v>31585.4</v>
      </c>
      <c r="H19" s="62">
        <f>7.2+2.4+1462.2+25029.72+350.42</f>
        <v>26851.94</v>
      </c>
      <c r="I19" s="85">
        <v>0.8</v>
      </c>
      <c r="J19" s="85"/>
      <c r="K19" s="101" t="e">
        <f>(#REF!+#REF!)/#REF!</f>
        <v>#REF!</v>
      </c>
      <c r="L19" s="32"/>
      <c r="M19" s="32"/>
      <c r="N19" s="12">
        <v>0.8</v>
      </c>
      <c r="O19" s="27"/>
      <c r="P19" s="26"/>
    </row>
    <row r="20" spans="1:16" ht="0.75" hidden="1" customHeight="1">
      <c r="A20" s="120">
        <v>17</v>
      </c>
      <c r="B20" s="8" t="s">
        <v>2</v>
      </c>
      <c r="C20" s="9" t="s">
        <v>32</v>
      </c>
      <c r="D20" s="49" t="s">
        <v>3</v>
      </c>
      <c r="E20" s="49" t="s">
        <v>3</v>
      </c>
      <c r="F20" s="17"/>
      <c r="G20" s="86">
        <v>67601.3</v>
      </c>
      <c r="H20" s="62">
        <f>9598.11+19.196+134.37+10231.1+3594.134+50.32</f>
        <v>23627.230000000003</v>
      </c>
      <c r="I20" s="66">
        <v>0.7</v>
      </c>
      <c r="J20" s="66"/>
      <c r="K20" s="101" t="e">
        <f>(#REF!+#REF!)/#REF!</f>
        <v>#REF!</v>
      </c>
      <c r="L20" s="71"/>
      <c r="M20" s="71"/>
      <c r="N20" s="21"/>
      <c r="O20" s="16"/>
      <c r="P20" s="103"/>
    </row>
    <row r="21" spans="1:16" ht="39.6" hidden="1">
      <c r="A21" s="120">
        <v>18</v>
      </c>
      <c r="B21" s="8" t="s">
        <v>10</v>
      </c>
      <c r="C21" s="9" t="s">
        <v>32</v>
      </c>
      <c r="D21" s="53" t="s">
        <v>9</v>
      </c>
      <c r="E21" s="53" t="s">
        <v>9</v>
      </c>
      <c r="F21" s="6"/>
      <c r="G21" s="86">
        <v>48937.9</v>
      </c>
      <c r="H21" s="62">
        <f>332.8</f>
        <v>332.8</v>
      </c>
      <c r="I21" s="66">
        <v>0</v>
      </c>
      <c r="J21" s="66"/>
      <c r="K21" s="101" t="e">
        <f>(#REF!+#REF!)/#REF!</f>
        <v>#REF!</v>
      </c>
      <c r="L21" s="71"/>
      <c r="M21" s="71"/>
      <c r="N21" s="21">
        <v>0</v>
      </c>
      <c r="O21" s="16"/>
      <c r="P21" s="26"/>
    </row>
    <row r="22" spans="1:16" ht="0.75" hidden="1" customHeight="1">
      <c r="A22" s="120">
        <v>19</v>
      </c>
      <c r="B22" s="10" t="s">
        <v>5</v>
      </c>
      <c r="C22" s="9" t="s">
        <v>32</v>
      </c>
      <c r="D22" s="54" t="s">
        <v>8</v>
      </c>
      <c r="E22" s="54" t="s">
        <v>8</v>
      </c>
      <c r="F22" s="6"/>
      <c r="G22" s="88">
        <v>31585.4</v>
      </c>
      <c r="H22" s="82">
        <f>7.2+2.4+1462.2+25029.72+350.42</f>
        <v>26851.94</v>
      </c>
      <c r="I22" s="67">
        <v>0.8</v>
      </c>
      <c r="J22" s="67"/>
      <c r="K22" s="101" t="e">
        <f>(#REF!+#REF!)/#REF!</f>
        <v>#REF!</v>
      </c>
      <c r="L22" s="50"/>
      <c r="M22" s="50"/>
      <c r="N22" s="22">
        <v>0.8</v>
      </c>
      <c r="O22" s="27"/>
      <c r="P22" s="26"/>
    </row>
    <row r="23" spans="1:16" ht="49.5" customHeight="1">
      <c r="A23" s="120">
        <v>6</v>
      </c>
      <c r="B23" s="45" t="s">
        <v>48</v>
      </c>
      <c r="C23" s="149" t="s">
        <v>24</v>
      </c>
      <c r="D23" s="148">
        <v>41095</v>
      </c>
      <c r="E23" s="149" t="s">
        <v>43</v>
      </c>
      <c r="F23" s="78"/>
      <c r="G23" s="212">
        <v>3517.7</v>
      </c>
      <c r="H23" s="146">
        <f>14.7+1000.92+624.84</f>
        <v>1640.46</v>
      </c>
      <c r="I23" s="212">
        <v>487.5</v>
      </c>
      <c r="J23" s="146"/>
      <c r="K23" s="202">
        <f>(H23+H24+J23+J24)/G23</f>
        <v>0.86142593171674675</v>
      </c>
      <c r="L23" s="80">
        <v>0.9</v>
      </c>
      <c r="M23" s="202" t="s">
        <v>128</v>
      </c>
      <c r="N23" s="204" t="s">
        <v>107</v>
      </c>
      <c r="O23" s="28"/>
      <c r="P23" s="30"/>
    </row>
    <row r="24" spans="1:16" ht="38.25" customHeight="1">
      <c r="A24" s="17">
        <v>7</v>
      </c>
      <c r="B24" s="45" t="s">
        <v>49</v>
      </c>
      <c r="C24" s="149" t="s">
        <v>24</v>
      </c>
      <c r="D24" s="148">
        <v>41095</v>
      </c>
      <c r="E24" s="149" t="s">
        <v>43</v>
      </c>
      <c r="F24" s="78"/>
      <c r="G24" s="213"/>
      <c r="H24" s="146">
        <f>12+830.098+547.68</f>
        <v>1389.7779999999998</v>
      </c>
      <c r="I24" s="213"/>
      <c r="J24" s="146"/>
      <c r="K24" s="214"/>
      <c r="L24" s="80">
        <v>0.9</v>
      </c>
      <c r="M24" s="215"/>
      <c r="N24" s="216"/>
      <c r="O24" s="28"/>
      <c r="P24" s="30"/>
    </row>
    <row r="25" spans="1:16" ht="76.5" customHeight="1">
      <c r="A25" s="17">
        <v>8</v>
      </c>
      <c r="B25" s="44" t="s">
        <v>101</v>
      </c>
      <c r="C25" s="97" t="s">
        <v>18</v>
      </c>
      <c r="D25" s="77" t="s">
        <v>74</v>
      </c>
      <c r="E25" s="78" t="s">
        <v>65</v>
      </c>
      <c r="F25" s="78"/>
      <c r="G25" s="14">
        <v>27549.200000000001</v>
      </c>
      <c r="H25" s="79">
        <f>24251.75</f>
        <v>24251.75</v>
      </c>
      <c r="I25" s="14">
        <v>3297.3</v>
      </c>
      <c r="J25" s="14"/>
      <c r="K25" s="140">
        <f t="shared" ref="K25:K27" si="1">(H25+J25)/G25</f>
        <v>0.8803068691649848</v>
      </c>
      <c r="L25" s="85">
        <v>0.9</v>
      </c>
      <c r="M25" s="13" t="s">
        <v>25</v>
      </c>
      <c r="N25" s="81" t="s">
        <v>50</v>
      </c>
      <c r="O25" s="28"/>
      <c r="P25" s="30"/>
    </row>
    <row r="26" spans="1:16" ht="117.75" customHeight="1">
      <c r="A26" s="120">
        <v>9</v>
      </c>
      <c r="B26" s="44" t="s">
        <v>85</v>
      </c>
      <c r="C26" s="97" t="s">
        <v>44</v>
      </c>
      <c r="D26" s="77" t="s">
        <v>75</v>
      </c>
      <c r="E26" s="78" t="s">
        <v>76</v>
      </c>
      <c r="F26" s="78"/>
      <c r="G26" s="14">
        <v>37331.1</v>
      </c>
      <c r="H26" s="79">
        <f>37246.4</f>
        <v>37246.400000000001</v>
      </c>
      <c r="I26" s="14">
        <v>84.7</v>
      </c>
      <c r="J26" s="14"/>
      <c r="K26" s="140">
        <f t="shared" si="1"/>
        <v>0.99773111427201455</v>
      </c>
      <c r="L26" s="85">
        <v>1</v>
      </c>
      <c r="M26" s="13" t="s">
        <v>26</v>
      </c>
      <c r="N26" s="81"/>
      <c r="O26" s="28"/>
      <c r="P26" s="30"/>
    </row>
    <row r="27" spans="1:16" ht="117.75" customHeight="1">
      <c r="A27" s="120">
        <f>A26+1</f>
        <v>10</v>
      </c>
      <c r="B27" s="44" t="s">
        <v>86</v>
      </c>
      <c r="C27" s="97" t="s">
        <v>44</v>
      </c>
      <c r="D27" s="77" t="s">
        <v>75</v>
      </c>
      <c r="E27" s="78" t="s">
        <v>76</v>
      </c>
      <c r="F27" s="78"/>
      <c r="G27" s="14">
        <v>28332.9</v>
      </c>
      <c r="H27" s="79">
        <f>28310</f>
        <v>28310</v>
      </c>
      <c r="I27" s="14">
        <v>23</v>
      </c>
      <c r="J27" s="14"/>
      <c r="K27" s="140">
        <f t="shared" si="1"/>
        <v>0.99919175234444757</v>
      </c>
      <c r="L27" s="85">
        <v>1</v>
      </c>
      <c r="M27" s="13" t="s">
        <v>26</v>
      </c>
      <c r="N27" s="81"/>
      <c r="O27" s="28"/>
      <c r="P27" s="30"/>
    </row>
    <row r="28" spans="1:16" ht="65.25" customHeight="1">
      <c r="A28" s="120">
        <v>11</v>
      </c>
      <c r="B28" s="133" t="s">
        <v>81</v>
      </c>
      <c r="C28" s="97" t="s">
        <v>82</v>
      </c>
      <c r="D28" s="77" t="s">
        <v>109</v>
      </c>
      <c r="E28" s="78" t="s">
        <v>76</v>
      </c>
      <c r="F28" s="78"/>
      <c r="G28" s="14">
        <v>3517.6</v>
      </c>
      <c r="H28" s="79">
        <f>3078.31</f>
        <v>3078.31</v>
      </c>
      <c r="I28" s="14">
        <v>439.3</v>
      </c>
      <c r="J28" s="14"/>
      <c r="K28" s="140">
        <f t="shared" ref="K28:K34" si="2">(H28+J28)/G28</f>
        <v>0.87511655674323408</v>
      </c>
      <c r="L28" s="85">
        <v>1</v>
      </c>
      <c r="M28" s="13" t="s">
        <v>26</v>
      </c>
      <c r="N28" s="81"/>
      <c r="O28" s="28"/>
      <c r="P28" s="30"/>
    </row>
    <row r="29" spans="1:16" ht="43.5" customHeight="1">
      <c r="A29" s="120">
        <f>A28+1</f>
        <v>12</v>
      </c>
      <c r="B29" s="133" t="s">
        <v>103</v>
      </c>
      <c r="C29" s="97" t="s">
        <v>87</v>
      </c>
      <c r="D29" s="77" t="s">
        <v>110</v>
      </c>
      <c r="E29" s="78" t="s">
        <v>105</v>
      </c>
      <c r="F29" s="78"/>
      <c r="G29" s="14">
        <v>10549.4</v>
      </c>
      <c r="H29" s="79">
        <f>1193.56</f>
        <v>1193.56</v>
      </c>
      <c r="I29" s="14">
        <v>9355.7999999999993</v>
      </c>
      <c r="J29" s="14"/>
      <c r="K29" s="140">
        <f t="shared" si="2"/>
        <v>0.11314008379623486</v>
      </c>
      <c r="L29" s="85">
        <v>0</v>
      </c>
      <c r="M29" s="13"/>
      <c r="N29" s="81" t="s">
        <v>135</v>
      </c>
      <c r="O29" s="28"/>
      <c r="P29" s="30"/>
    </row>
    <row r="30" spans="1:16" ht="51" customHeight="1">
      <c r="A30" s="120">
        <v>13</v>
      </c>
      <c r="B30" s="133" t="s">
        <v>104</v>
      </c>
      <c r="C30" s="97" t="s">
        <v>106</v>
      </c>
      <c r="D30" s="77" t="s">
        <v>110</v>
      </c>
      <c r="E30" s="78" t="s">
        <v>105</v>
      </c>
      <c r="F30" s="78"/>
      <c r="G30" s="14">
        <v>6951.2</v>
      </c>
      <c r="H30" s="79">
        <f>508.9</f>
        <v>508.9</v>
      </c>
      <c r="I30" s="14">
        <v>6442.3</v>
      </c>
      <c r="J30" s="14"/>
      <c r="K30" s="140">
        <f t="shared" si="2"/>
        <v>7.3210380941420183E-2</v>
      </c>
      <c r="L30" s="85">
        <v>0.05</v>
      </c>
      <c r="M30" s="13"/>
      <c r="N30" s="81" t="s">
        <v>135</v>
      </c>
      <c r="O30" s="28"/>
      <c r="P30" s="30"/>
    </row>
    <row r="31" spans="1:16" ht="291" customHeight="1">
      <c r="A31" s="120">
        <f>A30+1</f>
        <v>14</v>
      </c>
      <c r="B31" s="133" t="s">
        <v>84</v>
      </c>
      <c r="C31" s="97" t="s">
        <v>80</v>
      </c>
      <c r="D31" s="77" t="s">
        <v>79</v>
      </c>
      <c r="E31" s="78" t="s">
        <v>78</v>
      </c>
      <c r="F31" s="78"/>
      <c r="G31" s="14">
        <v>23461.7</v>
      </c>
      <c r="H31" s="79">
        <f>16397.5</f>
        <v>16397.5</v>
      </c>
      <c r="I31" s="14">
        <v>16490.900000000001</v>
      </c>
      <c r="J31" s="14"/>
      <c r="K31" s="140">
        <f t="shared" si="2"/>
        <v>0.6989050239326221</v>
      </c>
      <c r="L31" s="85">
        <v>0.85</v>
      </c>
      <c r="M31" s="13"/>
      <c r="N31" s="81"/>
      <c r="O31" s="28"/>
      <c r="P31" s="30"/>
    </row>
    <row r="32" spans="1:16" ht="225" customHeight="1">
      <c r="A32" s="17">
        <v>15</v>
      </c>
      <c r="B32" s="133" t="s">
        <v>102</v>
      </c>
      <c r="C32" s="97" t="s">
        <v>44</v>
      </c>
      <c r="D32" s="77" t="s">
        <v>129</v>
      </c>
      <c r="E32" s="78" t="s">
        <v>76</v>
      </c>
      <c r="F32" s="78"/>
      <c r="G32" s="14">
        <v>37835</v>
      </c>
      <c r="H32" s="79">
        <f>16504.78</f>
        <v>16504.78</v>
      </c>
      <c r="I32" s="14">
        <v>7064.2</v>
      </c>
      <c r="J32" s="14"/>
      <c r="K32" s="140">
        <f t="shared" si="2"/>
        <v>0.43623047442843926</v>
      </c>
      <c r="L32" s="85">
        <v>0.75</v>
      </c>
      <c r="M32" s="13"/>
      <c r="N32" s="81"/>
      <c r="O32" s="28"/>
      <c r="P32" s="30"/>
    </row>
    <row r="33" spans="1:16" ht="173.25" customHeight="1">
      <c r="A33" s="120">
        <v>16</v>
      </c>
      <c r="B33" s="133" t="s">
        <v>83</v>
      </c>
      <c r="C33" s="97" t="s">
        <v>87</v>
      </c>
      <c r="D33" s="77" t="s">
        <v>88</v>
      </c>
      <c r="E33" s="78" t="s">
        <v>76</v>
      </c>
      <c r="F33" s="78"/>
      <c r="G33" s="14">
        <v>64186</v>
      </c>
      <c r="H33" s="79">
        <f>43244.2</f>
        <v>43244.2</v>
      </c>
      <c r="I33" s="14">
        <v>20941.7</v>
      </c>
      <c r="J33" s="14">
        <f>9403.43</f>
        <v>9403.43</v>
      </c>
      <c r="K33" s="140">
        <f t="shared" si="2"/>
        <v>0.82023540959087649</v>
      </c>
      <c r="L33" s="85">
        <v>0.9</v>
      </c>
      <c r="M33" s="13"/>
      <c r="N33" s="81"/>
      <c r="O33" s="28"/>
      <c r="P33" s="30"/>
    </row>
    <row r="34" spans="1:16" ht="153.75" customHeight="1">
      <c r="A34" s="120">
        <v>17</v>
      </c>
      <c r="B34" s="133" t="s">
        <v>89</v>
      </c>
      <c r="C34" s="97" t="s">
        <v>87</v>
      </c>
      <c r="D34" s="77" t="s">
        <v>88</v>
      </c>
      <c r="E34" s="78" t="s">
        <v>76</v>
      </c>
      <c r="F34" s="78"/>
      <c r="G34" s="14">
        <v>48371.6</v>
      </c>
      <c r="H34" s="79">
        <f>33052.1</f>
        <v>33052.1</v>
      </c>
      <c r="I34" s="14">
        <v>15319.5</v>
      </c>
      <c r="J34" s="14">
        <f>8056.2</f>
        <v>8056.2</v>
      </c>
      <c r="K34" s="140">
        <f t="shared" si="2"/>
        <v>0.84984370994550518</v>
      </c>
      <c r="L34" s="85">
        <v>0.9</v>
      </c>
      <c r="M34" s="13"/>
      <c r="N34" s="81"/>
      <c r="O34" s="28"/>
      <c r="P34" s="30"/>
    </row>
    <row r="35" spans="1:16" ht="73.5" customHeight="1">
      <c r="A35" s="17">
        <f>A34+1</f>
        <v>18</v>
      </c>
      <c r="B35" s="44" t="s">
        <v>77</v>
      </c>
      <c r="C35" s="97" t="s">
        <v>80</v>
      </c>
      <c r="D35" s="77" t="s">
        <v>75</v>
      </c>
      <c r="E35" s="78" t="s">
        <v>78</v>
      </c>
      <c r="F35" s="78" t="s">
        <v>131</v>
      </c>
      <c r="G35" s="14">
        <v>9294.1</v>
      </c>
      <c r="H35" s="79"/>
      <c r="I35" s="14">
        <v>2.2999999999999998</v>
      </c>
      <c r="J35" s="14">
        <f>526.8+4967.9+3099.24+43.39+631.34+2.6+20.4</f>
        <v>9291.6699999999983</v>
      </c>
      <c r="K35" s="140">
        <f t="shared" ref="K35" si="3">(H35+J35)/G35</f>
        <v>0.99973854380736138</v>
      </c>
      <c r="L35" s="85">
        <v>1</v>
      </c>
      <c r="M35" s="13" t="s">
        <v>26</v>
      </c>
      <c r="N35" s="81"/>
      <c r="O35" s="28"/>
      <c r="P35" s="30"/>
    </row>
    <row r="36" spans="1:16" ht="35.25" customHeight="1">
      <c r="A36" s="160"/>
      <c r="B36" s="161" t="s">
        <v>92</v>
      </c>
      <c r="C36" s="162"/>
      <c r="D36" s="163"/>
      <c r="E36" s="163"/>
      <c r="F36" s="163"/>
      <c r="G36" s="164"/>
      <c r="H36" s="165"/>
      <c r="I36" s="164"/>
      <c r="J36" s="164"/>
      <c r="K36" s="166"/>
      <c r="L36" s="167"/>
      <c r="M36" s="167"/>
      <c r="N36" s="81"/>
      <c r="O36" s="139"/>
      <c r="P36" s="30"/>
    </row>
    <row r="37" spans="1:16" ht="35.25" customHeight="1">
      <c r="A37" s="120">
        <v>19</v>
      </c>
      <c r="B37" s="133" t="s">
        <v>93</v>
      </c>
      <c r="C37" s="206" t="s">
        <v>40</v>
      </c>
      <c r="D37" s="208" t="s">
        <v>98</v>
      </c>
      <c r="E37" s="210" t="s">
        <v>65</v>
      </c>
      <c r="F37" s="78"/>
      <c r="G37" s="212">
        <v>5168.1000000000004</v>
      </c>
      <c r="H37" s="79">
        <f>52.6</f>
        <v>52.6</v>
      </c>
      <c r="I37" s="212">
        <v>5115.5</v>
      </c>
      <c r="J37" s="14"/>
      <c r="K37" s="140"/>
      <c r="L37" s="85">
        <v>0.95</v>
      </c>
      <c r="M37" s="13" t="s">
        <v>25</v>
      </c>
      <c r="N37" s="76" t="s">
        <v>50</v>
      </c>
      <c r="O37" s="28" t="s">
        <v>133</v>
      </c>
      <c r="P37" s="30"/>
    </row>
    <row r="38" spans="1:16" ht="35.25" customHeight="1">
      <c r="A38" s="120">
        <f>A37+1</f>
        <v>20</v>
      </c>
      <c r="B38" s="133" t="s">
        <v>94</v>
      </c>
      <c r="C38" s="207"/>
      <c r="D38" s="209"/>
      <c r="E38" s="211"/>
      <c r="F38" s="78"/>
      <c r="G38" s="213"/>
      <c r="H38" s="79"/>
      <c r="I38" s="213"/>
      <c r="J38" s="14"/>
      <c r="K38" s="140"/>
      <c r="L38" s="140"/>
      <c r="M38" s="13" t="s">
        <v>25</v>
      </c>
      <c r="N38" s="81" t="s">
        <v>130</v>
      </c>
      <c r="O38" s="28" t="s">
        <v>133</v>
      </c>
      <c r="P38" s="30"/>
    </row>
    <row r="39" spans="1:16" ht="36.75" customHeight="1">
      <c r="A39" s="120">
        <f t="shared" ref="A39:A47" si="4">A38+1</f>
        <v>21</v>
      </c>
      <c r="B39" s="133" t="s">
        <v>95</v>
      </c>
      <c r="C39" s="97" t="s">
        <v>99</v>
      </c>
      <c r="D39" s="77" t="s">
        <v>108</v>
      </c>
      <c r="E39" s="78" t="s">
        <v>76</v>
      </c>
      <c r="F39" s="78"/>
      <c r="G39" s="14">
        <v>3088.5</v>
      </c>
      <c r="H39" s="79">
        <f>563.95</f>
        <v>563.95000000000005</v>
      </c>
      <c r="I39" s="14">
        <v>2524.5</v>
      </c>
      <c r="J39" s="14"/>
      <c r="K39" s="140">
        <f t="shared" ref="K39:K43" si="5">(H39+J39)/G39</f>
        <v>0.18259672980411204</v>
      </c>
      <c r="L39" s="85">
        <v>0.35</v>
      </c>
      <c r="M39" s="13"/>
      <c r="N39" s="81"/>
      <c r="O39" s="28"/>
      <c r="P39" s="30"/>
    </row>
    <row r="40" spans="1:16" ht="54.75" customHeight="1">
      <c r="A40" s="120">
        <f t="shared" si="4"/>
        <v>22</v>
      </c>
      <c r="B40" s="133" t="s">
        <v>111</v>
      </c>
      <c r="C40" s="147" t="s">
        <v>114</v>
      </c>
      <c r="D40" s="148" t="s">
        <v>112</v>
      </c>
      <c r="E40" s="149" t="s">
        <v>113</v>
      </c>
      <c r="F40" s="78"/>
      <c r="G40" s="146">
        <v>3959.2</v>
      </c>
      <c r="H40" s="79">
        <f>564.93</f>
        <v>564.92999999999995</v>
      </c>
      <c r="I40" s="146">
        <v>3394.4</v>
      </c>
      <c r="J40" s="14"/>
      <c r="K40" s="140">
        <f t="shared" si="5"/>
        <v>0.14268791675085876</v>
      </c>
      <c r="L40" s="85">
        <v>0</v>
      </c>
      <c r="M40" s="13"/>
      <c r="N40" s="81" t="s">
        <v>135</v>
      </c>
      <c r="O40" s="28"/>
      <c r="P40" s="30"/>
    </row>
    <row r="41" spans="1:16" ht="39" customHeight="1">
      <c r="A41" s="120">
        <f t="shared" si="4"/>
        <v>23</v>
      </c>
      <c r="B41" s="133" t="s">
        <v>115</v>
      </c>
      <c r="C41" s="147" t="s">
        <v>97</v>
      </c>
      <c r="D41" s="148" t="s">
        <v>116</v>
      </c>
      <c r="E41" s="149" t="s">
        <v>119</v>
      </c>
      <c r="F41" s="78"/>
      <c r="G41" s="146">
        <v>12378.1</v>
      </c>
      <c r="H41" s="79">
        <f>835.33</f>
        <v>835.33</v>
      </c>
      <c r="I41" s="146">
        <v>11542.8</v>
      </c>
      <c r="J41" s="14"/>
      <c r="K41" s="140">
        <f t="shared" si="5"/>
        <v>6.7484508931096046E-2</v>
      </c>
      <c r="L41" s="85">
        <v>0</v>
      </c>
      <c r="M41" s="13"/>
      <c r="N41" s="81" t="s">
        <v>135</v>
      </c>
      <c r="O41" s="28"/>
      <c r="P41" s="30"/>
    </row>
    <row r="42" spans="1:16" ht="39" customHeight="1">
      <c r="A42" s="120">
        <f t="shared" si="4"/>
        <v>24</v>
      </c>
      <c r="B42" s="133" t="s">
        <v>117</v>
      </c>
      <c r="C42" s="147" t="s">
        <v>80</v>
      </c>
      <c r="D42" s="148" t="s">
        <v>69</v>
      </c>
      <c r="E42" s="149" t="s">
        <v>119</v>
      </c>
      <c r="F42" s="78"/>
      <c r="G42" s="146">
        <v>31482.1</v>
      </c>
      <c r="H42" s="79">
        <f>3739.02</f>
        <v>3739.02</v>
      </c>
      <c r="I42" s="146">
        <v>27743.1</v>
      </c>
      <c r="J42" s="14"/>
      <c r="K42" s="140">
        <f t="shared" si="5"/>
        <v>0.11876653717509315</v>
      </c>
      <c r="L42" s="85">
        <v>0</v>
      </c>
      <c r="M42" s="13"/>
      <c r="N42" s="81" t="s">
        <v>135</v>
      </c>
      <c r="O42" s="28"/>
      <c r="P42" s="30"/>
    </row>
    <row r="43" spans="1:16" ht="131.4" customHeight="1">
      <c r="A43" s="120">
        <f t="shared" si="4"/>
        <v>25</v>
      </c>
      <c r="B43" s="133" t="s">
        <v>118</v>
      </c>
      <c r="C43" s="147" t="s">
        <v>97</v>
      </c>
      <c r="D43" s="148" t="s">
        <v>110</v>
      </c>
      <c r="E43" s="149" t="s">
        <v>119</v>
      </c>
      <c r="F43" s="78"/>
      <c r="G43" s="146">
        <v>29221.8</v>
      </c>
      <c r="H43" s="79">
        <f>4268.64</f>
        <v>4268.6400000000003</v>
      </c>
      <c r="I43" s="146">
        <v>24953.200000000001</v>
      </c>
      <c r="J43" s="14"/>
      <c r="K43" s="140">
        <f t="shared" si="5"/>
        <v>0.14607724370162004</v>
      </c>
      <c r="L43" s="85">
        <v>0</v>
      </c>
      <c r="M43" s="13" t="s">
        <v>128</v>
      </c>
      <c r="N43" s="81" t="s">
        <v>136</v>
      </c>
      <c r="O43" s="28"/>
      <c r="P43" s="30"/>
    </row>
    <row r="44" spans="1:16" ht="33.6" customHeight="1">
      <c r="A44" s="120">
        <f>A43+1</f>
        <v>26</v>
      </c>
      <c r="B44" s="133" t="s">
        <v>122</v>
      </c>
      <c r="C44" s="206" t="s">
        <v>100</v>
      </c>
      <c r="D44" s="208" t="s">
        <v>120</v>
      </c>
      <c r="E44" s="210" t="s">
        <v>121</v>
      </c>
      <c r="F44" s="78"/>
      <c r="G44" s="212">
        <v>17531.5</v>
      </c>
      <c r="H44" s="79">
        <f>3830.78</f>
        <v>3830.78</v>
      </c>
      <c r="I44" s="212">
        <v>7779.5</v>
      </c>
      <c r="J44" s="14"/>
      <c r="K44" s="222">
        <f>(J44+J45+H44+H45)/G44</f>
        <v>0.55625474146536236</v>
      </c>
      <c r="L44" s="85">
        <v>0.8</v>
      </c>
      <c r="M44" s="202"/>
      <c r="N44" s="81"/>
      <c r="O44" s="28"/>
      <c r="P44" s="30"/>
    </row>
    <row r="45" spans="1:16" ht="34.5" customHeight="1">
      <c r="A45" s="120">
        <f t="shared" si="4"/>
        <v>27</v>
      </c>
      <c r="B45" s="133" t="s">
        <v>96</v>
      </c>
      <c r="C45" s="205"/>
      <c r="D45" s="205"/>
      <c r="E45" s="205"/>
      <c r="F45" s="78"/>
      <c r="G45" s="205"/>
      <c r="H45" s="79">
        <f>5921.2</f>
        <v>5921.2</v>
      </c>
      <c r="I45" s="205"/>
      <c r="J45" s="14"/>
      <c r="K45" s="223"/>
      <c r="L45" s="85">
        <v>0.8</v>
      </c>
      <c r="M45" s="215"/>
      <c r="N45" s="81"/>
      <c r="O45" s="28"/>
      <c r="P45" s="30"/>
    </row>
    <row r="46" spans="1:16" ht="33" customHeight="1">
      <c r="A46" s="120">
        <f t="shared" si="4"/>
        <v>28</v>
      </c>
      <c r="B46" s="133" t="s">
        <v>125</v>
      </c>
      <c r="C46" s="147" t="s">
        <v>123</v>
      </c>
      <c r="D46" s="148" t="s">
        <v>110</v>
      </c>
      <c r="E46" s="149" t="s">
        <v>124</v>
      </c>
      <c r="F46" s="78"/>
      <c r="G46" s="146">
        <v>3007</v>
      </c>
      <c r="H46" s="79">
        <f>174.4</f>
        <v>174.4</v>
      </c>
      <c r="I46" s="146">
        <v>2832.6</v>
      </c>
      <c r="J46" s="14"/>
      <c r="K46" s="140">
        <f>(H46+J46)/G46</f>
        <v>5.7998004655803126E-2</v>
      </c>
      <c r="L46" s="85">
        <v>0</v>
      </c>
      <c r="M46" s="13"/>
      <c r="N46" s="81" t="s">
        <v>135</v>
      </c>
      <c r="O46" s="28"/>
      <c r="P46" s="30"/>
    </row>
    <row r="47" spans="1:16" ht="34.5" customHeight="1">
      <c r="A47" s="120">
        <f t="shared" si="4"/>
        <v>29</v>
      </c>
      <c r="B47" s="133" t="s">
        <v>126</v>
      </c>
      <c r="C47" s="147" t="s">
        <v>123</v>
      </c>
      <c r="D47" s="148" t="s">
        <v>110</v>
      </c>
      <c r="E47" s="149" t="s">
        <v>124</v>
      </c>
      <c r="F47" s="78"/>
      <c r="G47" s="146">
        <v>4086.1</v>
      </c>
      <c r="H47" s="79">
        <f>1365</f>
        <v>1365</v>
      </c>
      <c r="I47" s="146">
        <v>2721.1</v>
      </c>
      <c r="J47" s="14"/>
      <c r="K47" s="140">
        <f>(H47+J47)/G47</f>
        <v>0.33405937201732705</v>
      </c>
      <c r="L47" s="85">
        <v>0</v>
      </c>
      <c r="M47" s="13"/>
      <c r="N47" s="81" t="s">
        <v>135</v>
      </c>
      <c r="O47" s="28"/>
      <c r="P47" s="30"/>
    </row>
    <row r="48" spans="1:16" ht="39" customHeight="1">
      <c r="A48" s="134"/>
      <c r="B48" s="119" t="s">
        <v>53</v>
      </c>
      <c r="C48" s="91"/>
      <c r="D48" s="91"/>
      <c r="E48" s="91"/>
      <c r="F48" s="92"/>
      <c r="G48" s="93"/>
      <c r="H48" s="92"/>
      <c r="I48" s="94"/>
      <c r="J48" s="92"/>
      <c r="K48" s="92"/>
      <c r="L48" s="95"/>
      <c r="M48" s="95"/>
      <c r="N48" s="91"/>
      <c r="O48" s="28"/>
      <c r="P48" s="30"/>
    </row>
    <row r="49" spans="1:16" ht="74.25" customHeight="1">
      <c r="A49" s="127">
        <v>30</v>
      </c>
      <c r="B49" s="96" t="s">
        <v>137</v>
      </c>
      <c r="C49" s="97" t="s">
        <v>16</v>
      </c>
      <c r="D49" s="77" t="s">
        <v>138</v>
      </c>
      <c r="E49" s="97" t="s">
        <v>139</v>
      </c>
      <c r="F49" s="79"/>
      <c r="G49" s="14">
        <v>7562.8</v>
      </c>
      <c r="H49" s="79">
        <f>52.8+499.98+7</f>
        <v>559.78</v>
      </c>
      <c r="I49" s="14">
        <v>7003</v>
      </c>
      <c r="J49" s="79">
        <f>385.59</f>
        <v>385.59</v>
      </c>
      <c r="K49" s="85">
        <f>(H49+J49)/G49</f>
        <v>0.12500264452319246</v>
      </c>
      <c r="L49" s="85">
        <v>0.5</v>
      </c>
      <c r="M49" s="154"/>
      <c r="N49" s="154"/>
      <c r="O49" s="28"/>
      <c r="P49" s="30"/>
    </row>
    <row r="50" spans="1:16" ht="133.5" customHeight="1">
      <c r="A50" s="127">
        <v>31</v>
      </c>
      <c r="B50" s="96" t="s">
        <v>71</v>
      </c>
      <c r="C50" s="97" t="s">
        <v>29</v>
      </c>
      <c r="D50" s="77" t="s">
        <v>72</v>
      </c>
      <c r="E50" s="97" t="s">
        <v>52</v>
      </c>
      <c r="F50" s="79"/>
      <c r="G50" s="14">
        <v>2051.3000000000002</v>
      </c>
      <c r="H50" s="79"/>
      <c r="I50" s="14">
        <v>2051.3000000000002</v>
      </c>
      <c r="J50" s="79">
        <v>0</v>
      </c>
      <c r="K50" s="85">
        <f>(H50+J50)/G50</f>
        <v>0</v>
      </c>
      <c r="L50" s="85">
        <v>0</v>
      </c>
      <c r="M50" s="98"/>
      <c r="N50" s="155" t="s">
        <v>145</v>
      </c>
      <c r="O50" s="28"/>
      <c r="P50" s="30"/>
    </row>
    <row r="51" spans="1:16" ht="36.75" customHeight="1">
      <c r="A51" s="127">
        <v>32</v>
      </c>
      <c r="B51" s="96" t="s">
        <v>140</v>
      </c>
      <c r="C51" s="97"/>
      <c r="D51" s="77" t="s">
        <v>141</v>
      </c>
      <c r="E51" s="97" t="s">
        <v>139</v>
      </c>
      <c r="F51" s="79"/>
      <c r="G51" s="14">
        <v>22722.2</v>
      </c>
      <c r="H51" s="153">
        <f>254.4+11993.04+167.9+3504.45+35.23</f>
        <v>15955.02</v>
      </c>
      <c r="I51" s="14">
        <v>6767.1</v>
      </c>
      <c r="J51" s="153">
        <f>466.13</f>
        <v>466.13</v>
      </c>
      <c r="K51" s="85">
        <f>(H51+J51)/G51</f>
        <v>0.72269190483315882</v>
      </c>
      <c r="L51" s="85">
        <v>0.9</v>
      </c>
      <c r="M51" s="154"/>
      <c r="N51" s="154"/>
      <c r="O51" s="28"/>
      <c r="P51" s="30"/>
    </row>
    <row r="52" spans="1:16" ht="33.75" customHeight="1">
      <c r="A52" s="127">
        <v>33</v>
      </c>
      <c r="B52" s="157" t="s">
        <v>54</v>
      </c>
      <c r="C52" s="97" t="s">
        <v>55</v>
      </c>
      <c r="D52" s="77" t="s">
        <v>56</v>
      </c>
      <c r="E52" s="97" t="s">
        <v>52</v>
      </c>
      <c r="F52" s="79"/>
      <c r="G52" s="14">
        <v>1908.01</v>
      </c>
      <c r="H52" s="79"/>
      <c r="I52" s="14">
        <v>1908.01</v>
      </c>
      <c r="J52" s="79">
        <v>0</v>
      </c>
      <c r="K52" s="85">
        <f>(H52+J52)/G52</f>
        <v>0</v>
      </c>
      <c r="L52" s="85">
        <v>0</v>
      </c>
      <c r="M52" s="158" t="s">
        <v>25</v>
      </c>
      <c r="N52" s="156" t="s">
        <v>57</v>
      </c>
      <c r="O52" s="28"/>
      <c r="P52" s="30"/>
    </row>
    <row r="53" spans="1:16" ht="39" customHeight="1">
      <c r="A53" s="127">
        <v>34</v>
      </c>
      <c r="B53" s="96" t="s">
        <v>142</v>
      </c>
      <c r="C53" s="97" t="s">
        <v>143</v>
      </c>
      <c r="D53" s="77" t="s">
        <v>144</v>
      </c>
      <c r="E53" s="97" t="s">
        <v>139</v>
      </c>
      <c r="F53" s="79"/>
      <c r="G53" s="14">
        <v>28941.8</v>
      </c>
      <c r="H53" s="79">
        <f>15396.91+206.69</f>
        <v>15603.6</v>
      </c>
      <c r="I53" s="14">
        <v>13338.2</v>
      </c>
      <c r="J53" s="79">
        <v>0</v>
      </c>
      <c r="K53" s="85">
        <f>(H53+J53)/G53</f>
        <v>0.5391371649309995</v>
      </c>
      <c r="L53" s="85">
        <v>0.7</v>
      </c>
      <c r="M53" s="154"/>
      <c r="N53" s="154"/>
      <c r="O53" s="28"/>
      <c r="P53" s="30"/>
    </row>
    <row r="54" spans="1:16" ht="8.25" customHeight="1">
      <c r="A54" s="135"/>
      <c r="B54" s="136"/>
      <c r="C54" s="38"/>
      <c r="D54" s="37"/>
      <c r="E54" s="38"/>
      <c r="F54" s="40"/>
      <c r="G54" s="39"/>
      <c r="H54" s="40"/>
      <c r="I54" s="39"/>
      <c r="J54" s="40"/>
      <c r="K54" s="36"/>
      <c r="L54" s="36"/>
      <c r="M54" s="31"/>
      <c r="N54" s="137"/>
      <c r="O54" s="28"/>
      <c r="P54" s="30"/>
    </row>
    <row r="55" spans="1:16" ht="6.75" customHeight="1">
      <c r="A55" s="135"/>
      <c r="B55" s="136"/>
      <c r="C55" s="38"/>
      <c r="D55" s="37"/>
      <c r="E55" s="38"/>
      <c r="F55" s="40"/>
      <c r="G55" s="39"/>
      <c r="H55" s="40"/>
      <c r="I55" s="39"/>
      <c r="J55" s="40"/>
      <c r="K55" s="36"/>
      <c r="L55" s="36"/>
      <c r="M55" s="31"/>
      <c r="N55" s="137"/>
      <c r="O55" s="28"/>
      <c r="P55" s="30"/>
    </row>
    <row r="56" spans="1:16" ht="6.75" customHeight="1">
      <c r="A56" s="135"/>
      <c r="B56" s="136"/>
      <c r="C56" s="38"/>
      <c r="D56" s="37"/>
      <c r="E56" s="38"/>
      <c r="F56" s="40"/>
      <c r="G56" s="39"/>
      <c r="H56" s="40"/>
      <c r="I56" s="39"/>
      <c r="J56" s="40"/>
      <c r="K56" s="36"/>
      <c r="L56" s="36"/>
      <c r="M56" s="31"/>
      <c r="N56" s="137"/>
      <c r="O56" s="28"/>
      <c r="P56" s="30"/>
    </row>
    <row r="57" spans="1:16" ht="17.399999999999999">
      <c r="B57" s="219" t="s">
        <v>59</v>
      </c>
      <c r="C57" s="220"/>
      <c r="D57" s="220"/>
      <c r="E57" s="220"/>
      <c r="F57" s="29"/>
      <c r="G57" s="39"/>
      <c r="H57" s="34"/>
      <c r="I57" s="39"/>
      <c r="J57" s="39"/>
      <c r="K57" s="35"/>
      <c r="L57" s="35"/>
      <c r="M57" s="35"/>
      <c r="N57" s="36"/>
      <c r="O57" s="28"/>
      <c r="P57" s="30"/>
    </row>
    <row r="58" spans="1:16">
      <c r="B58" s="33"/>
      <c r="C58" s="73"/>
      <c r="D58" s="29"/>
      <c r="E58" s="29"/>
      <c r="F58" s="29"/>
      <c r="G58" s="39"/>
      <c r="H58" s="34"/>
      <c r="I58" s="39"/>
      <c r="J58" s="39"/>
      <c r="K58" s="35"/>
      <c r="L58" s="35"/>
      <c r="M58" s="35"/>
      <c r="N58" s="36"/>
      <c r="O58" s="28"/>
      <c r="P58" s="30"/>
    </row>
    <row r="59" spans="1:16" ht="17.399999999999999">
      <c r="B59" s="219" t="s">
        <v>146</v>
      </c>
      <c r="C59" s="220"/>
      <c r="D59" s="220"/>
      <c r="E59" s="220"/>
      <c r="F59" s="29"/>
      <c r="G59" s="39"/>
      <c r="H59" s="34"/>
      <c r="I59" s="39"/>
      <c r="J59" s="39"/>
      <c r="K59" s="35"/>
      <c r="L59" s="35"/>
      <c r="M59" s="35"/>
      <c r="N59" s="36"/>
      <c r="O59" s="28"/>
      <c r="P59" s="30"/>
    </row>
    <row r="60" spans="1:16">
      <c r="B60" s="33"/>
      <c r="C60" s="73"/>
      <c r="D60" s="29"/>
      <c r="E60" s="29"/>
      <c r="F60" s="29"/>
      <c r="G60" s="39"/>
      <c r="H60" s="34"/>
      <c r="I60" s="39"/>
      <c r="J60" s="39"/>
      <c r="K60" s="35"/>
      <c r="L60" s="35"/>
      <c r="M60" s="35"/>
      <c r="N60" s="36"/>
      <c r="O60" s="28"/>
      <c r="P60" s="30"/>
    </row>
    <row r="61" spans="1:16" ht="32.25" customHeight="1">
      <c r="A61" s="103"/>
      <c r="B61" s="217" t="s">
        <v>60</v>
      </c>
      <c r="C61" s="221"/>
      <c r="D61" s="221"/>
      <c r="E61" s="221"/>
      <c r="F61" s="138">
        <v>34</v>
      </c>
      <c r="G61" s="39"/>
      <c r="H61" s="34"/>
      <c r="I61" s="39"/>
      <c r="J61" s="39"/>
      <c r="K61" s="35"/>
      <c r="L61" s="35"/>
      <c r="M61" s="35"/>
      <c r="N61" s="36"/>
      <c r="O61" s="28"/>
      <c r="P61" s="30"/>
    </row>
    <row r="62" spans="1:16" ht="18" customHeight="1">
      <c r="A62" s="103"/>
      <c r="B62" s="217" t="s">
        <v>58</v>
      </c>
      <c r="C62" s="221"/>
      <c r="D62" s="221"/>
      <c r="E62" s="221"/>
      <c r="F62" s="138">
        <v>0</v>
      </c>
      <c r="G62" s="39"/>
      <c r="H62" s="34"/>
      <c r="I62" s="39"/>
      <c r="J62" s="39"/>
      <c r="K62" s="35"/>
      <c r="L62" s="35"/>
      <c r="M62" s="35"/>
      <c r="N62" s="36"/>
      <c r="O62" s="28"/>
      <c r="P62" s="30"/>
    </row>
    <row r="63" spans="1:16" ht="30" customHeight="1">
      <c r="A63" s="103"/>
      <c r="B63" s="217" t="s">
        <v>61</v>
      </c>
      <c r="C63" s="218"/>
      <c r="D63" s="218"/>
      <c r="E63" s="218"/>
      <c r="F63" s="138">
        <v>5</v>
      </c>
      <c r="G63" s="39"/>
      <c r="H63" s="34"/>
      <c r="I63" s="39"/>
      <c r="J63" s="39"/>
      <c r="K63" s="35"/>
      <c r="L63" s="35"/>
      <c r="M63" s="35"/>
      <c r="N63" s="36"/>
      <c r="O63" s="28"/>
      <c r="P63" s="30"/>
    </row>
    <row r="64" spans="1:16" ht="30.75" customHeight="1">
      <c r="A64" s="159"/>
      <c r="B64" s="217" t="s">
        <v>62</v>
      </c>
      <c r="C64" s="218"/>
      <c r="D64" s="218"/>
      <c r="E64" s="218"/>
      <c r="F64" s="138">
        <v>2</v>
      </c>
      <c r="G64" s="39"/>
      <c r="H64" s="34"/>
      <c r="I64" s="39"/>
      <c r="J64" s="39"/>
      <c r="K64" s="35"/>
      <c r="L64" s="35"/>
      <c r="M64" s="35"/>
      <c r="N64" s="36"/>
      <c r="O64" s="28"/>
      <c r="P64" s="30"/>
    </row>
    <row r="65" spans="1:17" ht="19.5" customHeight="1">
      <c r="A65" s="103"/>
      <c r="B65" s="217" t="s">
        <v>63</v>
      </c>
      <c r="C65" s="218"/>
      <c r="D65" s="218"/>
      <c r="E65" s="218"/>
      <c r="F65" s="138">
        <v>7</v>
      </c>
      <c r="G65" s="39"/>
      <c r="H65" s="34"/>
      <c r="I65" s="39"/>
      <c r="J65" s="39"/>
      <c r="K65" s="35"/>
      <c r="L65" s="35"/>
      <c r="M65" s="35"/>
      <c r="N65" s="36"/>
      <c r="O65" s="28"/>
      <c r="P65" s="30"/>
    </row>
    <row r="66" spans="1:17" ht="1.5" customHeight="1">
      <c r="B66" s="226"/>
      <c r="C66" s="226"/>
      <c r="D66" s="226"/>
      <c r="E66" s="226"/>
      <c r="F66" s="226"/>
      <c r="G66" s="226"/>
      <c r="H66" s="226"/>
      <c r="I66" s="226"/>
      <c r="J66" s="226"/>
      <c r="K66" s="226"/>
      <c r="L66" s="226"/>
      <c r="M66" s="226"/>
      <c r="N66" s="226"/>
      <c r="O66" s="226"/>
      <c r="P66" s="226"/>
    </row>
    <row r="67" spans="1:17" ht="43.5" hidden="1" customHeight="1">
      <c r="B67" s="41"/>
      <c r="C67" s="74"/>
      <c r="D67" s="55"/>
      <c r="E67" s="55"/>
      <c r="F67" s="15"/>
      <c r="G67" s="89"/>
      <c r="H67" s="56"/>
      <c r="I67" s="68"/>
      <c r="J67" s="68"/>
      <c r="K67" s="83"/>
      <c r="L67" s="83"/>
      <c r="M67" s="83"/>
      <c r="N67" s="16"/>
      <c r="O67" s="16"/>
      <c r="P67" s="103"/>
    </row>
    <row r="68" spans="1:17" ht="39.75" hidden="1" customHeight="1">
      <c r="B68" s="227"/>
      <c r="C68" s="228"/>
      <c r="D68" s="228"/>
      <c r="E68" s="60"/>
      <c r="F68" s="42"/>
      <c r="G68" s="89"/>
      <c r="H68" s="56"/>
      <c r="I68" s="68"/>
      <c r="J68" s="68"/>
      <c r="K68" s="83"/>
      <c r="L68" s="83"/>
      <c r="M68" s="83"/>
      <c r="N68" s="16"/>
      <c r="O68" s="16"/>
      <c r="P68" s="103"/>
    </row>
    <row r="69" spans="1:17" s="19" customFormat="1" ht="36" customHeight="1">
      <c r="B69" s="229" t="s">
        <v>41</v>
      </c>
      <c r="C69" s="230"/>
      <c r="D69" s="230"/>
      <c r="E69" s="230"/>
      <c r="F69" s="230"/>
      <c r="G69" s="230"/>
      <c r="H69" s="58"/>
      <c r="I69" s="70"/>
      <c r="J69" s="70"/>
      <c r="K69" s="58"/>
      <c r="L69" s="58"/>
      <c r="M69" s="19" t="s">
        <v>42</v>
      </c>
    </row>
    <row r="70" spans="1:17" s="19" customFormat="1" ht="18.75" customHeight="1">
      <c r="B70" s="151"/>
      <c r="C70" s="152"/>
      <c r="D70" s="152"/>
      <c r="E70" s="152"/>
      <c r="F70" s="152"/>
      <c r="G70" s="152"/>
      <c r="H70" s="58"/>
      <c r="I70" s="70"/>
      <c r="J70" s="70"/>
      <c r="K70" s="58"/>
      <c r="L70" s="58"/>
    </row>
    <row r="71" spans="1:17" ht="17.25" customHeight="1">
      <c r="B71" s="150" t="s">
        <v>27</v>
      </c>
      <c r="C71" s="150"/>
      <c r="D71" s="99"/>
      <c r="E71" s="56"/>
      <c r="F71" s="42"/>
      <c r="G71" s="89"/>
      <c r="H71" s="56"/>
      <c r="I71" s="68"/>
      <c r="J71" s="68"/>
      <c r="K71" s="83"/>
      <c r="L71" s="83"/>
      <c r="M71" s="83"/>
      <c r="N71" s="16"/>
      <c r="O71" s="16"/>
      <c r="P71" s="103"/>
    </row>
    <row r="72" spans="1:17" s="17" customFormat="1" ht="63" hidden="1" customHeight="1">
      <c r="A72" s="103"/>
      <c r="B72" s="150" t="s">
        <v>28</v>
      </c>
      <c r="C72" s="150"/>
      <c r="D72" s="99"/>
      <c r="E72" s="56"/>
      <c r="F72" s="43"/>
      <c r="G72" s="90"/>
      <c r="H72" s="56"/>
      <c r="I72" s="68"/>
      <c r="J72" s="68"/>
      <c r="K72" s="83"/>
      <c r="L72" s="83"/>
      <c r="M72" s="83"/>
      <c r="N72" s="16"/>
      <c r="O72" s="16"/>
      <c r="P72" s="103"/>
      <c r="Q72" s="23"/>
    </row>
    <row r="73" spans="1:17" s="17" customFormat="1" ht="75.75" hidden="1" customHeight="1">
      <c r="A73" s="103"/>
      <c r="B73" s="84"/>
      <c r="C73" s="84"/>
      <c r="D73" s="100"/>
      <c r="E73" s="61"/>
      <c r="F73" s="43"/>
      <c r="G73" s="90"/>
      <c r="H73" s="56"/>
      <c r="I73" s="68"/>
      <c r="J73" s="68"/>
      <c r="K73" s="83"/>
      <c r="L73" s="83"/>
      <c r="M73" s="83"/>
      <c r="N73" s="16"/>
      <c r="O73" s="16"/>
      <c r="P73" s="103"/>
      <c r="Q73" s="23"/>
    </row>
    <row r="74" spans="1:17" s="17" customFormat="1" ht="62.25" hidden="1" customHeight="1">
      <c r="A74" s="103"/>
      <c r="B74" s="84"/>
      <c r="C74" s="84"/>
      <c r="D74" s="100"/>
      <c r="E74" s="61"/>
      <c r="F74" s="43"/>
      <c r="G74" s="90"/>
      <c r="H74" s="56"/>
      <c r="I74" s="68"/>
      <c r="J74" s="68"/>
      <c r="K74" s="83"/>
      <c r="L74" s="83"/>
      <c r="M74" s="83"/>
      <c r="N74" s="16"/>
      <c r="O74" s="16"/>
      <c r="P74" s="103"/>
      <c r="Q74" s="23"/>
    </row>
    <row r="75" spans="1:17" s="17" customFormat="1" ht="46.5" hidden="1" customHeight="1">
      <c r="A75" s="103"/>
      <c r="B75" s="84"/>
      <c r="C75" s="84"/>
      <c r="D75" s="100"/>
      <c r="E75" s="61"/>
      <c r="F75" s="43"/>
      <c r="G75" s="90"/>
      <c r="H75" s="56"/>
      <c r="I75" s="68"/>
      <c r="J75" s="68"/>
      <c r="K75" s="83"/>
      <c r="L75" s="83"/>
      <c r="M75" s="83"/>
      <c r="N75" s="16"/>
      <c r="O75" s="16"/>
      <c r="P75" s="103"/>
      <c r="Q75" s="23"/>
    </row>
    <row r="76" spans="1:17" ht="13.5" customHeight="1">
      <c r="B76" s="224" t="s">
        <v>64</v>
      </c>
      <c r="C76" s="225"/>
      <c r="D76" s="225"/>
      <c r="E76" s="60"/>
      <c r="F76" s="42"/>
      <c r="G76" s="89"/>
      <c r="H76" s="56"/>
      <c r="I76" s="68"/>
      <c r="J76" s="68"/>
      <c r="K76" s="83"/>
      <c r="L76" s="83"/>
      <c r="M76" s="83"/>
      <c r="N76" s="16"/>
      <c r="O76" s="16"/>
      <c r="P76" s="103"/>
    </row>
    <row r="77" spans="1:17" ht="36.75" customHeight="1">
      <c r="B77" s="224"/>
      <c r="C77" s="225"/>
      <c r="D77" s="225"/>
      <c r="E77" s="60"/>
      <c r="F77" s="42"/>
      <c r="G77" s="89"/>
      <c r="H77" s="56"/>
      <c r="I77" s="68"/>
      <c r="J77" s="68"/>
      <c r="K77" s="83"/>
      <c r="L77" s="83"/>
      <c r="M77" s="83"/>
      <c r="N77" s="16"/>
      <c r="O77" s="16"/>
      <c r="P77" s="103"/>
    </row>
    <row r="78" spans="1:17" ht="14.25" customHeight="1">
      <c r="B78" s="103"/>
      <c r="C78" s="75"/>
      <c r="D78" s="56"/>
      <c r="E78" s="56"/>
      <c r="F78" s="103"/>
      <c r="G78" s="69"/>
      <c r="H78" s="56"/>
      <c r="I78" s="69"/>
      <c r="J78" s="69"/>
      <c r="K78" s="56"/>
      <c r="L78" s="56"/>
      <c r="M78" s="56"/>
      <c r="N78" s="103"/>
      <c r="O78" s="103"/>
      <c r="P78" s="103"/>
    </row>
    <row r="79" spans="1:17" hidden="1"/>
    <row r="80" spans="1:17">
      <c r="B80" s="18"/>
      <c r="D80" s="57"/>
      <c r="E80" s="3"/>
      <c r="G80" s="3"/>
      <c r="H80" s="3"/>
      <c r="I80" s="3"/>
      <c r="J80" s="3"/>
      <c r="K80" s="3"/>
      <c r="L80" s="3"/>
      <c r="M80" s="3"/>
    </row>
    <row r="81" spans="2:13">
      <c r="B81" s="18"/>
      <c r="D81" s="57"/>
      <c r="E81" s="3"/>
      <c r="G81" s="3"/>
      <c r="H81" s="3"/>
      <c r="I81" s="3"/>
      <c r="J81" s="3"/>
      <c r="K81" s="3"/>
      <c r="L81" s="3"/>
      <c r="M81" s="3"/>
    </row>
  </sheetData>
  <mergeCells count="38">
    <mergeCell ref="B77:D77"/>
    <mergeCell ref="B57:E57"/>
    <mergeCell ref="B59:E59"/>
    <mergeCell ref="B61:E61"/>
    <mergeCell ref="B62:E62"/>
    <mergeCell ref="B63:E63"/>
    <mergeCell ref="B64:E64"/>
    <mergeCell ref="B65:E65"/>
    <mergeCell ref="B66:P66"/>
    <mergeCell ref="B68:D68"/>
    <mergeCell ref="B69:G69"/>
    <mergeCell ref="B76:D76"/>
    <mergeCell ref="K44:K45"/>
    <mergeCell ref="M44:M45"/>
    <mergeCell ref="C44:C45"/>
    <mergeCell ref="D44:D45"/>
    <mergeCell ref="E44:E45"/>
    <mergeCell ref="G44:G45"/>
    <mergeCell ref="I44:I45"/>
    <mergeCell ref="C37:C38"/>
    <mergeCell ref="D37:D38"/>
    <mergeCell ref="E37:E38"/>
    <mergeCell ref="G37:G38"/>
    <mergeCell ref="I37:I38"/>
    <mergeCell ref="G23:G24"/>
    <mergeCell ref="I23:I24"/>
    <mergeCell ref="K23:K24"/>
    <mergeCell ref="M23:M24"/>
    <mergeCell ref="N23:N24"/>
    <mergeCell ref="A1:N1"/>
    <mergeCell ref="C12:C13"/>
    <mergeCell ref="D12:D13"/>
    <mergeCell ref="E12:E13"/>
    <mergeCell ref="F12:F13"/>
    <mergeCell ref="G12:G13"/>
    <mergeCell ref="K12:K13"/>
    <mergeCell ref="N12:N13"/>
    <mergeCell ref="I12:I13"/>
  </mergeCells>
  <pageMargins left="0.70866141732283472" right="0.70866141732283472" top="0.39370078740157483" bottom="0.39370078740157483" header="0.31496062992125984" footer="0.31496062992125984"/>
  <pageSetup paperSize="9" scale="9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01.06.2014г.  </vt:lpstr>
      <vt:lpstr>01.05.2014г. </vt:lpstr>
      <vt:lpstr>01.04.2014г. </vt:lpstr>
      <vt:lpstr>'01.04.2014г. '!Заголовки_для_печати</vt:lpstr>
      <vt:lpstr>'01.05.2014г. '!Заголовки_для_печати</vt:lpstr>
      <vt:lpstr>'01.06.2014г.  '!Заголовки_для_печати</vt:lpstr>
    </vt:vector>
  </TitlesOfParts>
  <Company>lensvet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ndg</dc:creator>
  <cp:lastModifiedBy>ndg</cp:lastModifiedBy>
  <cp:lastPrinted>2014-06-04T05:30:28Z</cp:lastPrinted>
  <dcterms:created xsi:type="dcterms:W3CDTF">2010-09-03T08:52:13Z</dcterms:created>
  <dcterms:modified xsi:type="dcterms:W3CDTF">2014-06-04T05:39:41Z</dcterms:modified>
</cp:coreProperties>
</file>